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tabRatio="500" activeTab="0"/>
  </bookViews>
  <sheets>
    <sheet name="ІІI.Зві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0">'ІІI.Звіт'!$25:$27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'ІІI.Звіт'!$A$1:$G$119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<sst xmlns="http://schemas.openxmlformats.org/spreadsheetml/2006/main" count="134" uniqueCount="123">
  <si>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</si>
  <si>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</si>
  <si>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</si>
  <si>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</si>
  <si>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</si>
  <si>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</si>
  <si>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</si>
  <si>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</si>
  <si>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</si>
  <si>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</si>
  <si>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</si>
  <si>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</si>
  <si>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</si>
  <si>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</si>
  <si>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</si>
  <si>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</si>
  <si>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</si>
  <si>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</si>
  <si>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</si>
  <si>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</si>
  <si>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ЗВІТ</t>
  </si>
  <si>
    <t xml:space="preserve">ПРО ВИКОНАННЯ ФІНАНСОВОГО ПЛАНУ ПІДПРИЄМСТВА </t>
  </si>
  <si>
    <t>(квартал, рік)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</si>
  <si>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</si>
  <si>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</si>
  <si>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</si>
  <si>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</si>
  <si>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</si>
  <si>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</si>
  <si>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>план</t>
  </si>
  <si>
    <t>факт</t>
  </si>
  <si>
    <t>виконання, %</t>
  </si>
  <si>
    <t>I. Фінансові результати</t>
  </si>
  <si>
    <t>Доходи і витрати від операційної діяльності (деталізація)</t>
  </si>
  <si>
    <t>Дохід з місцевого бюджету цільового фінансування на оплату комунальних послуг та енергоносіїв, товарів, робіт та послуг</t>
  </si>
  <si>
    <t>медикаменти та перев’язувальні матеріали</t>
  </si>
  <si>
    <t>ремонт та запасні частини до транспортних засобів</t>
  </si>
  <si>
    <t>господарчі товари та інвентар</t>
  </si>
  <si>
    <t>Витрати на паливо-мастильні матеріали</t>
  </si>
  <si>
    <t>Витрати на комунальні послуги та енергоносії, в т.ч.: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</si>
  <si>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</si>
  <si>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</si>
  <si>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</si>
  <si>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</si>
  <si>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</si>
  <si>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</si>
  <si>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</si>
  <si>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</si>
  <si>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</si>
  <si>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</si>
  <si>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</si>
  <si>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</si>
  <si>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</si>
  <si>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</si>
  <si>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охорону праці та навчання працівників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</si>
  <si>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</si>
  <si>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</si>
  <si>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</si>
  <si>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</si>
  <si>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</si>
  <si>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</si>
  <si>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</si>
  <si>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</si>
  <si>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</si>
  <si>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</si>
  <si>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</si>
  <si>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</si>
  <si>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</si>
  <si>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</si>
  <si>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</si>
  <si>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</si>
  <si>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</si>
  <si>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</si>
  <si>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</si>
  <si>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</si>
  <si>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</si>
  <si>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</si>
  <si>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</si>
  <si>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</si>
  <si>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</si>
  <si>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</si>
  <si>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</si>
  <si>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</si>
  <si>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Інші операційні доходи</t>
  </si>
  <si>
    <t>Штатна чисельність працівників</t>
  </si>
  <si>
    <t>Безоплатно одержані основні засоби та необоротні матеріальні активи</t>
  </si>
  <si>
    <t>Безоплатно одержані малоцінні швидкозношувані предмети</t>
  </si>
  <si>
    <t>Безоплатно одержані медикаменти та вироби медичного призначення</t>
  </si>
  <si>
    <t>Заборгованість перед працівниками за заробітною платою</t>
  </si>
  <si>
    <t>V. Додаткова інформація</t>
  </si>
  <si>
    <t>Дохід від наданих платних медичних послуг</t>
  </si>
  <si>
    <t>Дохід з державного бюджету</t>
  </si>
  <si>
    <t>Дохід від благодійних внесків, грантів, тощо</t>
  </si>
  <si>
    <t>Дохід від централізований постачань</t>
  </si>
  <si>
    <t>Витрати,  в т. ч.:</t>
  </si>
  <si>
    <t>Витрати на послуги, матеріали, тощо, в т. ч.:</t>
  </si>
  <si>
    <t>"ЗАТВЕРДЖЕНО"</t>
  </si>
  <si>
    <t>Дохід згідно Договору про медичне обслуговування населення за програмою медичних гарантій</t>
  </si>
  <si>
    <t>Комунальне некомерційне підприємство "Лікарня Святого Мартина»</t>
  </si>
  <si>
    <t>Комунальне підприємство</t>
  </si>
  <si>
    <t>Мукачівська ТГ</t>
  </si>
  <si>
    <t>Виконавчий комітет ММР</t>
  </si>
  <si>
    <t>Охорона здоров'я</t>
  </si>
  <si>
    <t>Діяльність лікарняних закладів</t>
  </si>
  <si>
    <t>тис.грн</t>
  </si>
  <si>
    <t>Комунальна</t>
  </si>
  <si>
    <t>89600, Закарпатська область, м.Мукачево, вул. Миколи-Новака Андрія, 8-13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</si>
  <si>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</si>
  <si>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</si>
  <si>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</si>
  <si>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</si>
  <si>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викачку нечистот та вивіз побутових відходів</t>
  </si>
  <si>
    <t>Інші витрати (кейтеринг, відрядження, соціальне забезпечення)</t>
  </si>
  <si>
    <t>інші адміністративні витрати (податки,штрафи,судові збори, тощо)</t>
  </si>
  <si>
    <t>Дохід з місцевого бюджету цільового фінансування , у тому числі:</t>
  </si>
  <si>
    <t>86.10</t>
  </si>
  <si>
    <t xml:space="preserve">рішенням виконавчого комітету Мукачівської міської ради від </t>
  </si>
  <si>
    <t>за ІIІ квартал 2023 року</t>
  </si>
  <si>
    <t>Т.в.о.директора КНП "Лікарня Св. Мартина"</t>
  </si>
  <si>
    <t>Олена БЛІНОВА</t>
  </si>
  <si>
    <t>Т.в.о. директора</t>
  </si>
  <si>
    <t>_28.11.2023 року______</t>
  </si>
  <si>
    <t xml:space="preserve"> __№ 452____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</si>
</sst>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.00\ _г_р_н_._-;\-* #,##0.00\ _г_р_н_._-;_-* \-??\ _г_р_н_._-;_-@_-"/>
    <numFmt numFmtId="175" formatCode="###\ ##0.000"/>
    <numFmt numFmtId="176" formatCode="_(\$* #,##0.00_);_(\$* \(#,##0.00\);_(\$* \-??_);_(@_)"/>
    <numFmt numFmtId="177" formatCode="_(* #,##0_);_(* \(#,##0\);_(* \-_);_(@_)"/>
    <numFmt numFmtId="178" formatCode="_(* #,##0.00_);_(* \(#,##0.00\);_(* \-??_);_(@_)"/>
    <numFmt numFmtId="179" formatCode="_-* #,##0.00_₴_-;\-* #,##0.00_₴_-;_-* \-??_₴_-;_-@_-"/>
    <numFmt numFmtId="180" formatCode="#,##0.00&quot;р.&quot;;\-#,##0.00&quot;р.&quot;"/>
    <numFmt numFmtId="181" formatCode="#,##0.0_ ;[Red]\-#,##0.0\ "/>
    <numFmt numFmtId="182" formatCode="_-* #,##0.00_р_._-;\-* #,##0.00_р_._-;_-* \-??_р_._-;_-@_-"/>
    <numFmt numFmtId="183" formatCode="#,##0&quot;р.&quot;;[Red]\-#,##0&quot;р.&quot;"/>
    <numFmt numFmtId="184" formatCode="0.0;\(0.0\);\ ;\-"/>
    <numFmt numFmtId="185" formatCode="_(* #,##0.0_);_(* \(#,##0.0\);_(* \-_);_(@_)"/>
    <numFmt numFmtId="186" formatCode="#,##0.0"/>
    <numFmt numFmtId="187" formatCode="0.0"/>
    <numFmt numFmtId="188" formatCode="_(* #,##0.0_);_(* \(#,##0.0\);_(* \-??_);_(@_)"/>
    <numFmt numFmtId="189" formatCode="_(* #,##0_);_(* \(#,##0\);_(* \-??_);_(@_)"/>
    <numFmt numFmtId="190" formatCode="_-* #,##0.0\ _₽_-;\-* #,##0.0\ _₽_-;_-* &quot;-&quot;?\ _₽_-;_-@_-"/>
    <numFmt numFmtId="191" formatCode="_(* #,##0.00_);_(* \(#,##0.00\);_(* \-_);_(@_)"/>
  </numFmts>
  <fonts count="8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65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65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65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5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65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65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65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66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66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66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66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6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6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7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17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66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66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66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66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66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67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68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69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6" fontId="0" fillId="0" borderId="0" applyFill="0" applyBorder="0" applyAlignment="0" applyProtection="0"/>
    <xf numFmtId="0" fontId="70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71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72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74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7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6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7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9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0" fontId="81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84" fontId="53" fillId="0" borderId="0" applyFill="0" applyBorder="0">
      <alignment horizontal="center" vertical="center" wrapText="1"/>
      <protection locked="0"/>
    </xf>
    <xf numFmtId="175" fontId="52" fillId="0" borderId="0">
      <alignment wrapText="1"/>
      <protection/>
    </xf>
    <xf numFmtId="175" fontId="11" fillId="0" borderId="0">
      <alignment wrapText="1"/>
      <protection/>
    </xf>
  </cellStyleXfs>
  <cellXfs count="85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vertical="center"/>
    </xf>
    <xf numFmtId="185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14" fontId="54" fillId="0" borderId="0" xfId="0" applyNumberFormat="1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left" vertical="center" wrapText="1"/>
    </xf>
    <xf numFmtId="185" fontId="58" fillId="0" borderId="3" xfId="0" applyNumberFormat="1" applyFont="1" applyFill="1" applyBorder="1" applyAlignment="1">
      <alignment horizontal="left" vertical="center" wrapText="1"/>
    </xf>
    <xf numFmtId="185" fontId="56" fillId="0" borderId="3" xfId="0" applyNumberFormat="1" applyFont="1" applyFill="1" applyBorder="1" applyAlignment="1">
      <alignment horizontal="left" vertical="center" wrapText="1"/>
    </xf>
    <xf numFmtId="185" fontId="56" fillId="0" borderId="23" xfId="0" applyNumberFormat="1" applyFont="1" applyFill="1" applyBorder="1" applyAlignment="1">
      <alignment vertical="center" wrapText="1"/>
    </xf>
    <xf numFmtId="185" fontId="56" fillId="0" borderId="3" xfId="0" applyNumberFormat="1" applyFont="1" applyFill="1" applyBorder="1" applyAlignment="1">
      <alignment horizontal="center" vertical="center" wrapText="1"/>
    </xf>
    <xf numFmtId="0" fontId="54" fillId="56" borderId="0" xfId="135" applyFont="1" applyFill="1" applyBorder="1" applyAlignment="1">
      <alignment horizontal="center" vertical="center"/>
      <protection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177" fontId="54" fillId="0" borderId="3" xfId="0" applyNumberFormat="1" applyFont="1" applyFill="1" applyBorder="1" applyAlignment="1">
      <alignment horizontal="center" vertical="center"/>
    </xf>
    <xf numFmtId="177" fontId="58" fillId="0" borderId="3" xfId="0" applyNumberFormat="1" applyFont="1" applyFill="1" applyBorder="1" applyAlignment="1">
      <alignment horizontal="center" vertical="center"/>
    </xf>
    <xf numFmtId="185" fontId="56" fillId="57" borderId="3" xfId="0" applyNumberFormat="1" applyFont="1" applyFill="1" applyBorder="1" applyAlignment="1">
      <alignment horizontal="center" vertical="center" wrapText="1"/>
    </xf>
    <xf numFmtId="185" fontId="54" fillId="56" borderId="3" xfId="0" applyNumberFormat="1" applyFont="1" applyFill="1" applyBorder="1" applyAlignment="1">
      <alignment horizontal="left" vertical="center" wrapText="1"/>
    </xf>
    <xf numFmtId="177" fontId="54" fillId="56" borderId="3" xfId="0" applyNumberFormat="1" applyFont="1" applyFill="1" applyBorder="1" applyAlignment="1">
      <alignment horizontal="center" vertical="center"/>
    </xf>
    <xf numFmtId="185" fontId="54" fillId="57" borderId="3" xfId="0" applyNumberFormat="1" applyFont="1" applyFill="1" applyBorder="1" applyAlignment="1">
      <alignment horizontal="center" vertical="center" wrapText="1"/>
    </xf>
    <xf numFmtId="177" fontId="54" fillId="56" borderId="3" xfId="0" applyNumberFormat="1" applyFont="1" applyFill="1" applyBorder="1" applyAlignment="1">
      <alignment horizontal="center" vertical="center" wrapText="1"/>
    </xf>
    <xf numFmtId="185" fontId="58" fillId="56" borderId="3" xfId="0" applyNumberFormat="1" applyFont="1" applyFill="1" applyBorder="1" applyAlignment="1">
      <alignment horizontal="left" vertical="center" wrapText="1"/>
    </xf>
    <xf numFmtId="177" fontId="58" fillId="56" borderId="3" xfId="0" applyNumberFormat="1" applyFont="1" applyFill="1" applyBorder="1" applyAlignment="1">
      <alignment horizontal="center" vertical="center" wrapText="1"/>
    </xf>
    <xf numFmtId="185" fontId="54" fillId="56" borderId="3" xfId="0" applyNumberFormat="1" applyFont="1" applyFill="1" applyBorder="1" applyAlignment="1">
      <alignment horizontal="center" vertical="center" wrapText="1"/>
    </xf>
    <xf numFmtId="185" fontId="82" fillId="56" borderId="3" xfId="0" applyNumberFormat="1" applyFont="1" applyFill="1" applyBorder="1" applyAlignment="1">
      <alignment horizontal="center" vertical="center" wrapText="1"/>
    </xf>
    <xf numFmtId="177" fontId="58" fillId="56" borderId="3" xfId="0" applyNumberFormat="1" applyFont="1" applyFill="1" applyBorder="1" applyAlignment="1">
      <alignment horizontal="center" vertical="center"/>
    </xf>
    <xf numFmtId="185" fontId="56" fillId="56" borderId="3" xfId="0" applyNumberFormat="1" applyFont="1" applyFill="1" applyBorder="1" applyAlignment="1">
      <alignment horizontal="left" vertical="center" wrapText="1"/>
    </xf>
    <xf numFmtId="186" fontId="54" fillId="56" borderId="3" xfId="0" applyNumberFormat="1" applyFont="1" applyFill="1" applyBorder="1" applyAlignment="1">
      <alignment horizontal="right" vertical="center" wrapText="1"/>
    </xf>
    <xf numFmtId="190" fontId="54" fillId="56" borderId="3" xfId="0" applyNumberFormat="1" applyFont="1" applyFill="1" applyBorder="1" applyAlignment="1">
      <alignment horizontal="center" vertical="center" wrapText="1"/>
    </xf>
    <xf numFmtId="186" fontId="56" fillId="56" borderId="3" xfId="0" applyNumberFormat="1" applyFont="1" applyFill="1" applyBorder="1" applyAlignment="1">
      <alignment horizontal="right" vertical="center" wrapText="1"/>
    </xf>
    <xf numFmtId="185" fontId="56" fillId="58" borderId="3" xfId="0" applyNumberFormat="1" applyFont="1" applyFill="1" applyBorder="1" applyAlignment="1">
      <alignment horizontal="center" vertical="center" wrapText="1"/>
    </xf>
    <xf numFmtId="177" fontId="56" fillId="0" borderId="3" xfId="0" applyNumberFormat="1" applyFont="1" applyFill="1" applyBorder="1" applyAlignment="1">
      <alignment horizontal="center" vertical="center"/>
    </xf>
    <xf numFmtId="185" fontId="56" fillId="56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185" fontId="54" fillId="0" borderId="25" xfId="0" applyNumberFormat="1" applyFont="1" applyFill="1" applyBorder="1" applyAlignment="1">
      <alignment horizontal="left" vertical="center" wrapText="1"/>
    </xf>
    <xf numFmtId="185" fontId="54" fillId="0" borderId="22" xfId="0" applyNumberFormat="1" applyFont="1" applyFill="1" applyBorder="1" applyAlignment="1">
      <alignment horizontal="center" vertical="center" wrapText="1"/>
    </xf>
    <xf numFmtId="185" fontId="54" fillId="0" borderId="21" xfId="0" applyNumberFormat="1" applyFont="1" applyFill="1" applyBorder="1" applyAlignment="1">
      <alignment horizontal="center" vertical="center" wrapText="1"/>
    </xf>
    <xf numFmtId="185" fontId="54" fillId="0" borderId="26" xfId="0" applyNumberFormat="1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4" fillId="56" borderId="0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/>
    </xf>
    <xf numFmtId="0" fontId="54" fillId="56" borderId="22" xfId="0" applyFont="1" applyFill="1" applyBorder="1" applyAlignment="1">
      <alignment horizontal="center" vertical="center"/>
    </xf>
    <xf numFmtId="0" fontId="54" fillId="56" borderId="23" xfId="0" applyFont="1" applyFill="1" applyBorder="1" applyAlignment="1">
      <alignment horizontal="center" vertical="center" wrapText="1"/>
    </xf>
    <xf numFmtId="0" fontId="54" fillId="56" borderId="2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 wrapText="1" shrinkToFit="1"/>
    </xf>
    <xf numFmtId="0" fontId="54" fillId="56" borderId="3" xfId="0" applyFont="1" applyFill="1" applyBorder="1" applyAlignment="1">
      <alignment horizontal="center" vertical="center" wrapText="1"/>
    </xf>
    <xf numFmtId="185" fontId="54" fillId="56" borderId="26" xfId="0" applyNumberFormat="1" applyFont="1" applyFill="1" applyBorder="1" applyAlignment="1">
      <alignment horizontal="center" vertical="center" wrapText="1"/>
    </xf>
    <xf numFmtId="0" fontId="54" fillId="56" borderId="27" xfId="0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left" vertical="center"/>
    </xf>
    <xf numFmtId="0" fontId="59" fillId="56" borderId="0" xfId="135" applyFont="1" applyFill="1" applyBorder="1" applyAlignment="1">
      <alignment horizontal="left" vertical="center"/>
      <protection/>
    </xf>
    <xf numFmtId="177" fontId="54" fillId="0" borderId="3" xfId="0" applyNumberFormat="1" applyFont="1" applyFill="1" applyBorder="1" applyAlignment="1">
      <alignment horizontal="center" vertical="center" wrapText="1"/>
    </xf>
    <xf numFmtId="185" fontId="54" fillId="56" borderId="0" xfId="0" applyNumberFormat="1" applyFont="1" applyFill="1" applyBorder="1" applyAlignment="1">
      <alignment horizontal="left" vertical="center" wrapText="1"/>
    </xf>
    <xf numFmtId="185" fontId="54" fillId="56" borderId="0" xfId="0" applyNumberFormat="1" applyFont="1" applyFill="1" applyBorder="1" applyAlignment="1">
      <alignment horizontal="center"/>
    </xf>
    <xf numFmtId="185" fontId="58" fillId="56" borderId="0" xfId="0" applyNumberFormat="1" applyFont="1" applyFill="1" applyBorder="1" applyAlignment="1">
      <alignment horizontal="center"/>
    </xf>
    <xf numFmtId="0" fontId="54" fillId="56" borderId="0" xfId="0" applyFont="1" applyFill="1" applyBorder="1" applyAlignment="1">
      <alignment/>
    </xf>
    <xf numFmtId="0" fontId="54" fillId="56" borderId="21" xfId="0" applyFont="1" applyFill="1" applyBorder="1" applyAlignment="1">
      <alignment horizontal="left" vertical="center" wrapText="1"/>
    </xf>
    <xf numFmtId="0" fontId="54" fillId="56" borderId="24" xfId="0" applyFont="1" applyFill="1" applyBorder="1" applyAlignment="1">
      <alignment horizontal="center" vertical="center"/>
    </xf>
    <xf numFmtId="0" fontId="54" fillId="56" borderId="0" xfId="0" applyFont="1" applyFill="1" applyBorder="1" applyAlignment="1">
      <alignment vertical="center"/>
    </xf>
    <xf numFmtId="0" fontId="54" fillId="0" borderId="23" xfId="0" applyFont="1" applyFill="1" applyBorder="1" applyAlignment="1">
      <alignment horizontal="left" vertical="center" wrapText="1"/>
    </xf>
    <xf numFmtId="0" fontId="54" fillId="0" borderId="23" xfId="135" applyFont="1" applyFill="1" applyBorder="1" applyAlignment="1">
      <alignment horizontal="left" vertical="center" wrapText="1"/>
      <protection/>
    </xf>
    <xf numFmtId="0" fontId="54" fillId="0" borderId="23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85" fontId="56" fillId="56" borderId="3" xfId="0" applyNumberFormat="1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56" borderId="23" xfId="0" applyFont="1" applyFill="1" applyBorder="1" applyAlignment="1">
      <alignment horizontal="left" vertical="center" wrapText="1"/>
    </xf>
    <xf numFmtId="185" fontId="54" fillId="56" borderId="28" xfId="0" applyNumberFormat="1" applyFont="1" applyFill="1" applyBorder="1" applyAlignment="1">
      <alignment horizontal="left" wrapText="1"/>
    </xf>
    <xf numFmtId="185" fontId="54" fillId="56" borderId="2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185" fontId="56" fillId="0" borderId="21" xfId="0" applyNumberFormat="1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</cellXfs>
  <cellStyles count="399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 1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 Built-in Normal" xfId="135"/>
    <cellStyle name="Explanatory Text" xfId="136"/>
    <cellStyle name="FS10" xfId="137"/>
    <cellStyle name="Good 1" xfId="138"/>
    <cellStyle name="Heading 1 1" xfId="139"/>
    <cellStyle name="Heading 2 1" xfId="140"/>
    <cellStyle name="Heading 3" xfId="141"/>
    <cellStyle name="Heading 4" xfId="142"/>
    <cellStyle name="Hyperlink 2" xfId="143"/>
    <cellStyle name="Input" xfId="144"/>
    <cellStyle name="Level0" xfId="145"/>
    <cellStyle name="Level0 10" xfId="146"/>
    <cellStyle name="Level0 2" xfId="147"/>
    <cellStyle name="Level0 2 2" xfId="148"/>
    <cellStyle name="Level0 3" xfId="149"/>
    <cellStyle name="Level0 3 2" xfId="150"/>
    <cellStyle name="Level0 4" xfId="151"/>
    <cellStyle name="Level0 4 2" xfId="152"/>
    <cellStyle name="Level0 5" xfId="153"/>
    <cellStyle name="Level0 6" xfId="154"/>
    <cellStyle name="Level0 7" xfId="155"/>
    <cellStyle name="Level0 7 2" xfId="156"/>
    <cellStyle name="Level0 7 3" xfId="157"/>
    <cellStyle name="Level0 8" xfId="158"/>
    <cellStyle name="Level0 8 2" xfId="159"/>
    <cellStyle name="Level0 8 3" xfId="160"/>
    <cellStyle name="Level0 9" xfId="161"/>
    <cellStyle name="Level0 9 2" xfId="162"/>
    <cellStyle name="Level0 9 3" xfId="163"/>
    <cellStyle name="Level0_Zvit rux-koshtiv 2010 Департамент " xfId="164"/>
    <cellStyle name="Level1" xfId="165"/>
    <cellStyle name="Level1 2" xfId="166"/>
    <cellStyle name="Level1-Numbers" xfId="167"/>
    <cellStyle name="Level1-Numbers 2" xfId="168"/>
    <cellStyle name="Level1-Numbers-Hide" xfId="169"/>
    <cellStyle name="Level2" xfId="170"/>
    <cellStyle name="Level2 2" xfId="171"/>
    <cellStyle name="Level2-Hide" xfId="172"/>
    <cellStyle name="Level2-Hide 2" xfId="173"/>
    <cellStyle name="Level2-Numbers" xfId="174"/>
    <cellStyle name="Level2-Numbers 2" xfId="175"/>
    <cellStyle name="Level2-Numbers-Hide" xfId="176"/>
    <cellStyle name="Level3" xfId="177"/>
    <cellStyle name="Level3 2" xfId="178"/>
    <cellStyle name="Level3 3" xfId="179"/>
    <cellStyle name="Level3_План департамент_2010_1207" xfId="180"/>
    <cellStyle name="Level3-Hide" xfId="181"/>
    <cellStyle name="Level3-Hide 2" xfId="182"/>
    <cellStyle name="Level3-Numbers" xfId="183"/>
    <cellStyle name="Level3-Numbers 2" xfId="184"/>
    <cellStyle name="Level3-Numbers 3" xfId="185"/>
    <cellStyle name="Level3-Numbers_План департамент_2010_1207" xfId="186"/>
    <cellStyle name="Level3-Numbers-Hide" xfId="187"/>
    <cellStyle name="Level4" xfId="188"/>
    <cellStyle name="Level4 2" xfId="189"/>
    <cellStyle name="Level4-Hide" xfId="190"/>
    <cellStyle name="Level4-Hide 2" xfId="191"/>
    <cellStyle name="Level4-Numbers" xfId="192"/>
    <cellStyle name="Level4-Numbers 2" xfId="193"/>
    <cellStyle name="Level4-Numbers-Hide" xfId="194"/>
    <cellStyle name="Level5" xfId="195"/>
    <cellStyle name="Level5 2" xfId="196"/>
    <cellStyle name="Level5-Hide" xfId="197"/>
    <cellStyle name="Level5-Hide 2" xfId="198"/>
    <cellStyle name="Level5-Numbers" xfId="199"/>
    <cellStyle name="Level5-Numbers 2" xfId="200"/>
    <cellStyle name="Level5-Numbers-Hide" xfId="201"/>
    <cellStyle name="Level6" xfId="202"/>
    <cellStyle name="Level6 2" xfId="203"/>
    <cellStyle name="Level6-Hide" xfId="204"/>
    <cellStyle name="Level6-Hide 2" xfId="205"/>
    <cellStyle name="Level6-Numbers" xfId="206"/>
    <cellStyle name="Level6-Numbers 2" xfId="207"/>
    <cellStyle name="Level7" xfId="208"/>
    <cellStyle name="Level7-Hide" xfId="209"/>
    <cellStyle name="Level7-Numbers" xfId="210"/>
    <cellStyle name="Linked Cell" xfId="211"/>
    <cellStyle name="Neutral 1" xfId="212"/>
    <cellStyle name="Normal 2" xfId="213"/>
    <cellStyle name="Normal_2005_03_15-Финансовый_БГ" xfId="214"/>
    <cellStyle name="Note 1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Плохой" xfId="336"/>
    <cellStyle name="Плохой 2" xfId="337"/>
    <cellStyle name="Плохой 3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Percent" xfId="345"/>
    <cellStyle name="Процентный 2" xfId="346"/>
    <cellStyle name="Процентный 2 10" xfId="347"/>
    <cellStyle name="Процентный 2 11" xfId="348"/>
    <cellStyle name="Процентный 2 12" xfId="349"/>
    <cellStyle name="Процентный 2 13" xfId="350"/>
    <cellStyle name="Процентный 2 14" xfId="351"/>
    <cellStyle name="Процентный 2 15" xfId="352"/>
    <cellStyle name="Процентный 2 16" xfId="353"/>
    <cellStyle name="Процентный 2 2" xfId="354"/>
    <cellStyle name="Процентный 2 3" xfId="355"/>
    <cellStyle name="Процентный 2 4" xfId="356"/>
    <cellStyle name="Процентный 2 5" xfId="357"/>
    <cellStyle name="Процентный 2 6" xfId="358"/>
    <cellStyle name="Процентный 2 7" xfId="359"/>
    <cellStyle name="Процентный 2 8" xfId="360"/>
    <cellStyle name="Процентный 2 9" xfId="361"/>
    <cellStyle name="Процентный 3" xfId="362"/>
    <cellStyle name="Процентный 4" xfId="363"/>
    <cellStyle name="Процентный 4 2" xfId="364"/>
    <cellStyle name="Связанная ячейка" xfId="365"/>
    <cellStyle name="Связанная ячейка 2" xfId="366"/>
    <cellStyle name="Связанная ячейка 3" xfId="367"/>
    <cellStyle name="Стиль 1" xfId="368"/>
    <cellStyle name="Стиль 1 2" xfId="369"/>
    <cellStyle name="Стиль 1 3" xfId="370"/>
    <cellStyle name="Стиль 1 4" xfId="371"/>
    <cellStyle name="Стиль 1 5" xfId="372"/>
    <cellStyle name="Стиль 1 6" xfId="373"/>
    <cellStyle name="Стиль 1 7" xfId="374"/>
    <cellStyle name="Текст предупреждения" xfId="375"/>
    <cellStyle name="Текст предупреждения 2" xfId="376"/>
    <cellStyle name="Текст предупреждения 3" xfId="377"/>
    <cellStyle name="Тысячи [0]_1.62" xfId="378"/>
    <cellStyle name="Тысячи_1.62" xfId="379"/>
    <cellStyle name="Comma" xfId="380"/>
    <cellStyle name="Comma [0]" xfId="381"/>
    <cellStyle name="Финансовый 2" xfId="382"/>
    <cellStyle name="Финансовый 2 10" xfId="383"/>
    <cellStyle name="Финансовый 2 11" xfId="384"/>
    <cellStyle name="Финансовый 2 12" xfId="385"/>
    <cellStyle name="Финансовый 2 13" xfId="386"/>
    <cellStyle name="Финансовый 2 14" xfId="387"/>
    <cellStyle name="Финансовый 2 15" xfId="388"/>
    <cellStyle name="Финансовый 2 16" xfId="389"/>
    <cellStyle name="Финансовый 2 17" xfId="390"/>
    <cellStyle name="Финансовый 2 2" xfId="391"/>
    <cellStyle name="Финансовый 2 3" xfId="392"/>
    <cellStyle name="Финансовый 2 4" xfId="393"/>
    <cellStyle name="Финансовый 2 5" xfId="394"/>
    <cellStyle name="Финансовый 2 6" xfId="395"/>
    <cellStyle name="Финансовый 2 7" xfId="396"/>
    <cellStyle name="Финансовый 2 8" xfId="397"/>
    <cellStyle name="Финансовый 2 9" xfId="398"/>
    <cellStyle name="Финансовый 3" xfId="399"/>
    <cellStyle name="Финансовый 3 2" xfId="400"/>
    <cellStyle name="Финансовый 4" xfId="401"/>
    <cellStyle name="Финансовый 4 2" xfId="402"/>
    <cellStyle name="Финансовый 4 3" xfId="403"/>
    <cellStyle name="Финансовый 5" xfId="404"/>
    <cellStyle name="Финансовый 6" xfId="405"/>
    <cellStyle name="Финансовый 7" xfId="406"/>
    <cellStyle name="Хороший" xfId="407"/>
    <cellStyle name="Хороший 2" xfId="408"/>
    <cellStyle name="Хороший 3" xfId="409"/>
    <cellStyle name="числовой" xfId="410"/>
    <cellStyle name="Ю" xfId="411"/>
    <cellStyle name="Ю-FreeSet_10" xfId="4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1">
        <row r="2">
          <cell r="F2" t="str">
            <v>Компания "Мама"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6">
          <cell r="E6" t="str">
            <v>31 декабря 2005 года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1">
        <row r="2">
          <cell r="G2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124"/>
  <sheetViews>
    <sheetView tabSelected="1" view="pageBreakPreview" zoomScale="80" zoomScaleNormal="75" zoomScaleSheetLayoutView="80" zoomScalePageLayoutView="0" workbookViewId="0" topLeftCell="A7">
      <selection activeCell="E8" sqref="E8"/>
    </sheetView>
  </sheetViews>
  <sheetFormatPr defaultColWidth="9.00390625" defaultRowHeight="12.75"/>
  <cols>
    <col min="1" max="1" width="93.125" style="1" customWidth="1"/>
    <col min="2" max="2" width="14.875" style="2" customWidth="1"/>
    <col min="3" max="3" width="23.375" style="2" customWidth="1"/>
    <col min="4" max="4" width="20.75390625" style="2" customWidth="1"/>
    <col min="5" max="5" width="19.125" style="2" customWidth="1"/>
    <col min="6" max="6" width="19.125" style="47" customWidth="1"/>
    <col min="7" max="7" width="19.00390625" style="2" customWidth="1"/>
    <col min="8" max="16384" width="9.125" style="1" customWidth="1"/>
  </cols>
  <sheetData>
    <row r="1" spans="4:6" ht="18.75" hidden="1">
      <c r="D1" s="81"/>
      <c r="E1" s="81"/>
      <c r="F1" s="81"/>
    </row>
    <row r="2" spans="3:7" ht="18.75" hidden="1">
      <c r="C2" s="1"/>
      <c r="D2" s="81"/>
      <c r="E2" s="81"/>
      <c r="F2" s="81"/>
      <c r="G2" s="81"/>
    </row>
    <row r="3" ht="18.75" hidden="1">
      <c r="D3" s="11"/>
    </row>
    <row r="4" spans="4:5" ht="26.25" customHeight="1">
      <c r="D4" s="11"/>
      <c r="E4" s="18" t="s">
        <v>96</v>
      </c>
    </row>
    <row r="5" spans="4:5" ht="36.75" customHeight="1">
      <c r="D5" s="11" t="s">
        <v>116</v>
      </c>
      <c r="E5" s="18"/>
    </row>
    <row r="6" spans="4:5" ht="18.75">
      <c r="D6" s="56" t="s">
        <v>121</v>
      </c>
      <c r="E6" s="57" t="s">
        <v>122</v>
      </c>
    </row>
    <row r="7" spans="4:5" ht="18.75">
      <c r="D7" s="11"/>
      <c r="E7" s="18"/>
    </row>
    <row r="8" spans="2:7" ht="18.75" customHeight="1">
      <c r="B8" s="70"/>
      <c r="C8" s="70"/>
      <c r="D8" s="70"/>
      <c r="F8" s="71" t="s">
        <v>0</v>
      </c>
      <c r="G8" s="71"/>
    </row>
    <row r="9" spans="1:7" ht="18.75" customHeight="1">
      <c r="A9" s="4" t="s">
        <v>1</v>
      </c>
      <c r="B9" s="66" t="s">
        <v>98</v>
      </c>
      <c r="C9" s="66"/>
      <c r="D9" s="66"/>
      <c r="E9" s="66"/>
      <c r="F9" s="48" t="s">
        <v>2</v>
      </c>
      <c r="G9" s="3">
        <v>1992831</v>
      </c>
    </row>
    <row r="10" spans="1:7" ht="18.75" customHeight="1">
      <c r="A10" s="4" t="s">
        <v>3</v>
      </c>
      <c r="B10" s="66" t="s">
        <v>99</v>
      </c>
      <c r="C10" s="66"/>
      <c r="D10" s="66"/>
      <c r="E10" s="19"/>
      <c r="F10" s="48" t="s">
        <v>4</v>
      </c>
      <c r="G10" s="3">
        <v>150</v>
      </c>
    </row>
    <row r="11" spans="1:7" ht="18.75" customHeight="1">
      <c r="A11" s="4" t="s">
        <v>5</v>
      </c>
      <c r="B11" s="66" t="s">
        <v>100</v>
      </c>
      <c r="C11" s="66"/>
      <c r="D11" s="66"/>
      <c r="E11" s="19"/>
      <c r="F11" s="48" t="s">
        <v>6</v>
      </c>
      <c r="G11" s="3">
        <v>2110400000</v>
      </c>
    </row>
    <row r="12" spans="1:7" ht="18.75" customHeight="1">
      <c r="A12" s="4" t="s">
        <v>7</v>
      </c>
      <c r="B12" s="67" t="s">
        <v>101</v>
      </c>
      <c r="C12" s="67"/>
      <c r="D12" s="67"/>
      <c r="E12" s="67"/>
      <c r="F12" s="48" t="s">
        <v>8</v>
      </c>
      <c r="G12" s="3">
        <v>1009</v>
      </c>
    </row>
    <row r="13" spans="1:7" ht="18.75" customHeight="1">
      <c r="A13" s="4" t="s">
        <v>9</v>
      </c>
      <c r="B13" s="66" t="s">
        <v>102</v>
      </c>
      <c r="C13" s="66"/>
      <c r="D13" s="66"/>
      <c r="E13" s="12"/>
      <c r="F13" s="48" t="s">
        <v>10</v>
      </c>
      <c r="G13" s="3"/>
    </row>
    <row r="14" spans="1:7" ht="18.75" customHeight="1">
      <c r="A14" s="4" t="s">
        <v>11</v>
      </c>
      <c r="B14" s="66" t="s">
        <v>103</v>
      </c>
      <c r="C14" s="66"/>
      <c r="D14" s="66"/>
      <c r="E14" s="12"/>
      <c r="F14" s="49" t="s">
        <v>12</v>
      </c>
      <c r="G14" s="3" t="s">
        <v>115</v>
      </c>
    </row>
    <row r="15" spans="1:7" ht="18.75" customHeight="1">
      <c r="A15" s="4" t="s">
        <v>13</v>
      </c>
      <c r="B15" s="66" t="s">
        <v>104</v>
      </c>
      <c r="C15" s="66"/>
      <c r="D15" s="66"/>
      <c r="E15" s="74" t="s">
        <v>14</v>
      </c>
      <c r="F15" s="74"/>
      <c r="G15" s="5"/>
    </row>
    <row r="16" spans="1:7" ht="18.75" customHeight="1">
      <c r="A16" s="4" t="s">
        <v>15</v>
      </c>
      <c r="B16" s="75" t="s">
        <v>105</v>
      </c>
      <c r="C16" s="75"/>
      <c r="D16" s="75"/>
      <c r="E16" s="74" t="s">
        <v>16</v>
      </c>
      <c r="F16" s="74"/>
      <c r="G16" s="5"/>
    </row>
    <row r="17" spans="1:7" ht="18.75" customHeight="1">
      <c r="A17" s="4" t="s">
        <v>17</v>
      </c>
      <c r="B17" s="68"/>
      <c r="C17" s="68"/>
      <c r="D17" s="68"/>
      <c r="E17" s="12"/>
      <c r="F17" s="50"/>
      <c r="G17" s="20"/>
    </row>
    <row r="18" spans="1:7" ht="36" customHeight="1">
      <c r="A18" s="4" t="s">
        <v>18</v>
      </c>
      <c r="B18" s="75" t="s">
        <v>106</v>
      </c>
      <c r="C18" s="75"/>
      <c r="D18" s="75"/>
      <c r="E18" s="75"/>
      <c r="F18" s="51"/>
      <c r="G18" s="21"/>
    </row>
    <row r="19" spans="1:7" ht="18.75" customHeight="1">
      <c r="A19" s="4" t="s">
        <v>19</v>
      </c>
      <c r="B19" s="68"/>
      <c r="C19" s="68"/>
      <c r="D19" s="68"/>
      <c r="E19" s="12"/>
      <c r="F19" s="50"/>
      <c r="G19" s="20"/>
    </row>
    <row r="20" spans="1:7" s="65" customFormat="1" ht="18.75" customHeight="1">
      <c r="A20" s="63" t="s">
        <v>120</v>
      </c>
      <c r="B20" s="75" t="s">
        <v>119</v>
      </c>
      <c r="C20" s="75"/>
      <c r="D20" s="75"/>
      <c r="E20" s="51"/>
      <c r="F20" s="51"/>
      <c r="G20" s="64"/>
    </row>
    <row r="21" spans="1:7" ht="18.75">
      <c r="A21" s="72" t="s">
        <v>20</v>
      </c>
      <c r="B21" s="72"/>
      <c r="C21" s="72"/>
      <c r="D21" s="72"/>
      <c r="E21" s="72"/>
      <c r="F21" s="72"/>
      <c r="G21" s="72"/>
    </row>
    <row r="22" spans="1:7" ht="18.75">
      <c r="A22" s="72" t="s">
        <v>21</v>
      </c>
      <c r="B22" s="72"/>
      <c r="C22" s="72"/>
      <c r="D22" s="72"/>
      <c r="E22" s="72"/>
      <c r="F22" s="72"/>
      <c r="G22" s="72"/>
    </row>
    <row r="23" spans="1:7" ht="18.75" customHeight="1">
      <c r="A23" s="78" t="s">
        <v>117</v>
      </c>
      <c r="B23" s="78"/>
      <c r="C23" s="78"/>
      <c r="D23" s="78"/>
      <c r="E23" s="78"/>
      <c r="F23" s="78"/>
      <c r="G23" s="78"/>
    </row>
    <row r="24" spans="1:7" ht="18.75" customHeight="1">
      <c r="A24" s="79" t="s">
        <v>22</v>
      </c>
      <c r="B24" s="79"/>
      <c r="C24" s="79"/>
      <c r="D24" s="79"/>
      <c r="E24" s="79"/>
      <c r="F24" s="79"/>
      <c r="G24" s="79"/>
    </row>
    <row r="25" spans="1:7" ht="36" customHeight="1">
      <c r="A25" s="71" t="s">
        <v>23</v>
      </c>
      <c r="B25" s="80" t="s">
        <v>24</v>
      </c>
      <c r="C25" s="80" t="s">
        <v>25</v>
      </c>
      <c r="D25" s="80"/>
      <c r="E25" s="80" t="s">
        <v>26</v>
      </c>
      <c r="F25" s="80"/>
      <c r="G25" s="80"/>
    </row>
    <row r="26" spans="1:7" ht="61.5" customHeight="1">
      <c r="A26" s="71"/>
      <c r="B26" s="80"/>
      <c r="C26" s="6" t="s">
        <v>27</v>
      </c>
      <c r="D26" s="6" t="s">
        <v>28</v>
      </c>
      <c r="E26" s="7" t="s">
        <v>29</v>
      </c>
      <c r="F26" s="52" t="s">
        <v>30</v>
      </c>
      <c r="G26" s="7" t="s">
        <v>31</v>
      </c>
    </row>
    <row r="27" spans="1:7" ht="18" customHeight="1">
      <c r="A27" s="3">
        <v>1</v>
      </c>
      <c r="B27" s="5">
        <v>2</v>
      </c>
      <c r="C27" s="5">
        <v>3</v>
      </c>
      <c r="D27" s="5">
        <v>4</v>
      </c>
      <c r="E27" s="5">
        <v>6</v>
      </c>
      <c r="F27" s="53">
        <v>8</v>
      </c>
      <c r="G27" s="5">
        <v>9</v>
      </c>
    </row>
    <row r="28" spans="1:7" ht="18" customHeight="1">
      <c r="A28" s="83" t="s">
        <v>32</v>
      </c>
      <c r="B28" s="83"/>
      <c r="C28" s="83"/>
      <c r="D28" s="83"/>
      <c r="E28" s="83"/>
      <c r="F28" s="83"/>
      <c r="G28" s="83"/>
    </row>
    <row r="29" spans="1:7" s="8" customFormat="1" ht="19.5" customHeight="1">
      <c r="A29" s="84" t="s">
        <v>33</v>
      </c>
      <c r="B29" s="84"/>
      <c r="C29" s="84"/>
      <c r="D29" s="84"/>
      <c r="E29" s="84"/>
      <c r="F29" s="84"/>
      <c r="G29" s="84"/>
    </row>
    <row r="30" spans="1:7" s="8" customFormat="1" ht="37.5">
      <c r="A30" s="13" t="s">
        <v>97</v>
      </c>
      <c r="B30" s="22">
        <v>100</v>
      </c>
      <c r="C30" s="9"/>
      <c r="D30" s="17">
        <f>81358.6+86091.9+F30</f>
        <v>254558.5</v>
      </c>
      <c r="E30" s="17">
        <v>86400</v>
      </c>
      <c r="F30" s="40">
        <v>87108</v>
      </c>
      <c r="G30" s="17">
        <f>(F30/E30)*100</f>
        <v>100.81944444444444</v>
      </c>
    </row>
    <row r="31" spans="1:7" s="8" customFormat="1" ht="18.75">
      <c r="A31" s="13" t="s">
        <v>90</v>
      </c>
      <c r="B31" s="22">
        <v>101</v>
      </c>
      <c r="C31" s="9"/>
      <c r="D31" s="17">
        <f>3841+3637.6+F31</f>
        <v>11783.6</v>
      </c>
      <c r="E31" s="17">
        <v>4200</v>
      </c>
      <c r="F31" s="40">
        <v>4305</v>
      </c>
      <c r="G31" s="17">
        <f>(F31/E31)*100</f>
        <v>102.49999999999999</v>
      </c>
    </row>
    <row r="32" spans="1:7" s="8" customFormat="1" ht="18.75">
      <c r="A32" s="13" t="s">
        <v>91</v>
      </c>
      <c r="B32" s="22">
        <v>102</v>
      </c>
      <c r="C32" s="9"/>
      <c r="D32" s="17"/>
      <c r="E32" s="17"/>
      <c r="F32" s="40"/>
      <c r="G32" s="9"/>
    </row>
    <row r="33" spans="1:7" s="8" customFormat="1" ht="18.75" hidden="1">
      <c r="A33" s="13"/>
      <c r="B33" s="22"/>
      <c r="C33" s="9"/>
      <c r="D33" s="17"/>
      <c r="E33" s="17"/>
      <c r="F33" s="40"/>
      <c r="G33" s="9"/>
    </row>
    <row r="34" spans="1:7" s="8" customFormat="1" ht="37.5">
      <c r="A34" s="13" t="s">
        <v>34</v>
      </c>
      <c r="B34" s="22">
        <v>110</v>
      </c>
      <c r="C34" s="9"/>
      <c r="D34" s="17">
        <f>3786.3+3951.9+F34</f>
        <v>10676.7</v>
      </c>
      <c r="E34" s="17">
        <v>2739.5</v>
      </c>
      <c r="F34" s="40">
        <v>2938.5</v>
      </c>
      <c r="G34" s="17">
        <f>(F34/E34)*100</f>
        <v>107.26409928819128</v>
      </c>
    </row>
    <row r="35" spans="1:7" s="8" customFormat="1" ht="18.75">
      <c r="A35" s="13" t="s">
        <v>92</v>
      </c>
      <c r="B35" s="22">
        <v>111</v>
      </c>
      <c r="C35" s="9"/>
      <c r="D35" s="17">
        <v>132.2</v>
      </c>
      <c r="E35" s="17">
        <v>0</v>
      </c>
      <c r="F35" s="40">
        <v>0</v>
      </c>
      <c r="G35" s="17">
        <v>0</v>
      </c>
    </row>
    <row r="36" spans="1:7" s="8" customFormat="1" ht="18.75">
      <c r="A36" s="13" t="s">
        <v>93</v>
      </c>
      <c r="B36" s="22">
        <v>112</v>
      </c>
      <c r="C36" s="9"/>
      <c r="D36" s="9"/>
      <c r="E36" s="9"/>
      <c r="F36" s="31"/>
      <c r="G36" s="9"/>
    </row>
    <row r="37" spans="1:7" s="8" customFormat="1" ht="18.75">
      <c r="A37" s="13" t="s">
        <v>83</v>
      </c>
      <c r="B37" s="22">
        <v>113</v>
      </c>
      <c r="C37" s="9"/>
      <c r="D37" s="9"/>
      <c r="E37" s="9"/>
      <c r="F37" s="31"/>
      <c r="G37" s="9"/>
    </row>
    <row r="38" spans="1:7" s="8" customFormat="1" ht="18.75">
      <c r="A38" s="13" t="s">
        <v>114</v>
      </c>
      <c r="B38" s="22">
        <v>120</v>
      </c>
      <c r="C38" s="9"/>
      <c r="D38" s="17">
        <f>D39+D40+D41+D42+D43</f>
        <v>48192.1</v>
      </c>
      <c r="E38" s="17">
        <f>E39+E40+E41+E42+E43</f>
        <v>2936.1</v>
      </c>
      <c r="F38" s="40">
        <f>F39+F40+F41+F42+F43</f>
        <v>16407</v>
      </c>
      <c r="G38" s="17">
        <f>(F38/E38)*100</f>
        <v>558.802493103096</v>
      </c>
    </row>
    <row r="39" spans="1:7" s="8" customFormat="1" ht="19.5" customHeight="1">
      <c r="A39" s="14" t="s">
        <v>35</v>
      </c>
      <c r="B39" s="23">
        <v>121</v>
      </c>
      <c r="C39" s="9"/>
      <c r="D39" s="9">
        <f>3729.8+2125.5+F39</f>
        <v>7318.4</v>
      </c>
      <c r="E39" s="9">
        <v>2250</v>
      </c>
      <c r="F39" s="31">
        <v>1463.1</v>
      </c>
      <c r="G39" s="17">
        <f aca="true" t="shared" si="0" ref="G39:G48">(F39/E39)*100</f>
        <v>65.02666666666667</v>
      </c>
    </row>
    <row r="40" spans="1:7" s="8" customFormat="1" ht="20.25" customHeight="1">
      <c r="A40" s="14" t="s">
        <v>37</v>
      </c>
      <c r="B40" s="23">
        <v>122</v>
      </c>
      <c r="C40" s="9"/>
      <c r="D40" s="9">
        <f>762.2+F40</f>
        <v>921.2</v>
      </c>
      <c r="E40" s="9">
        <v>0</v>
      </c>
      <c r="F40" s="31">
        <v>159</v>
      </c>
      <c r="G40" s="17"/>
    </row>
    <row r="41" spans="1:7" s="8" customFormat="1" ht="18.75">
      <c r="A41" s="14" t="s">
        <v>68</v>
      </c>
      <c r="B41" s="23">
        <v>123</v>
      </c>
      <c r="C41" s="9"/>
      <c r="D41" s="9">
        <f>12278.4+12387.1+F41</f>
        <v>39450.4</v>
      </c>
      <c r="E41" s="9">
        <v>686.1</v>
      </c>
      <c r="F41" s="31">
        <v>14784.9</v>
      </c>
      <c r="G41" s="17"/>
    </row>
    <row r="42" spans="1:7" s="8" customFormat="1" ht="18.75">
      <c r="A42" s="14" t="s">
        <v>51</v>
      </c>
      <c r="B42" s="23">
        <v>124</v>
      </c>
      <c r="C42" s="9"/>
      <c r="D42" s="9">
        <v>419.2</v>
      </c>
      <c r="E42" s="9">
        <v>0</v>
      </c>
      <c r="F42" s="31">
        <v>0</v>
      </c>
      <c r="G42" s="17">
        <v>0</v>
      </c>
    </row>
    <row r="43" spans="1:7" s="8" customFormat="1" ht="18.75">
      <c r="A43" s="14" t="s">
        <v>52</v>
      </c>
      <c r="B43" s="23">
        <v>125</v>
      </c>
      <c r="C43" s="9"/>
      <c r="D43" s="9">
        <v>82.9</v>
      </c>
      <c r="E43" s="9">
        <v>0</v>
      </c>
      <c r="F43" s="31">
        <v>0</v>
      </c>
      <c r="G43" s="17">
        <v>0</v>
      </c>
    </row>
    <row r="44" spans="1:7" ht="18.75" customHeight="1">
      <c r="A44" s="25" t="s">
        <v>94</v>
      </c>
      <c r="B44" s="26">
        <v>130</v>
      </c>
      <c r="C44" s="27">
        <f>SUM(C45:C61)</f>
        <v>0</v>
      </c>
      <c r="D44" s="24">
        <f>D45+D49+D50+SUM(D56:D61)</f>
        <v>264908.79999999993</v>
      </c>
      <c r="E44" s="24">
        <f>E45+E49+E50+E56+E57+E59+E61</f>
        <v>85329.90000000001</v>
      </c>
      <c r="F44" s="24">
        <f>F45+F49+F50+SUM(F56:F61)</f>
        <v>83202.6</v>
      </c>
      <c r="G44" s="17">
        <f t="shared" si="0"/>
        <v>97.50697000699637</v>
      </c>
    </row>
    <row r="45" spans="1:7" s="10" customFormat="1" ht="19.5" customHeight="1">
      <c r="A45" s="25" t="s">
        <v>95</v>
      </c>
      <c r="B45" s="28">
        <v>140</v>
      </c>
      <c r="C45" s="27"/>
      <c r="D45" s="27">
        <f>D46+D47+D48</f>
        <v>48199</v>
      </c>
      <c r="E45" s="27">
        <f>E46+E47+E48</f>
        <v>15070.2</v>
      </c>
      <c r="F45" s="27">
        <f>F46+F47+F48</f>
        <v>12667.000000000002</v>
      </c>
      <c r="G45" s="17">
        <f t="shared" si="0"/>
        <v>84.05329723560405</v>
      </c>
    </row>
    <row r="46" spans="1:7" s="10" customFormat="1" ht="19.5" customHeight="1">
      <c r="A46" s="29" t="s">
        <v>35</v>
      </c>
      <c r="B46" s="30">
        <v>141</v>
      </c>
      <c r="C46" s="31"/>
      <c r="D46" s="31">
        <f>12791.6+19242.4+F46</f>
        <v>44098.8</v>
      </c>
      <c r="E46" s="31">
        <v>14650</v>
      </c>
      <c r="F46" s="31">
        <f>10372.1+229.6+1463.1</f>
        <v>12064.800000000001</v>
      </c>
      <c r="G46" s="17">
        <f t="shared" si="0"/>
        <v>82.35358361774745</v>
      </c>
    </row>
    <row r="47" spans="1:7" s="10" customFormat="1" ht="19.5" customHeight="1">
      <c r="A47" s="29" t="s">
        <v>36</v>
      </c>
      <c r="B47" s="30">
        <v>142</v>
      </c>
      <c r="C47" s="31"/>
      <c r="D47" s="31">
        <f>41.6+9.9</f>
        <v>51.5</v>
      </c>
      <c r="E47" s="31">
        <v>0</v>
      </c>
      <c r="F47" s="31">
        <v>0</v>
      </c>
      <c r="G47" s="17">
        <v>0</v>
      </c>
    </row>
    <row r="48" spans="1:7" s="10" customFormat="1" ht="19.5" customHeight="1">
      <c r="A48" s="29" t="s">
        <v>37</v>
      </c>
      <c r="B48" s="30">
        <v>143</v>
      </c>
      <c r="C48" s="31"/>
      <c r="D48" s="31">
        <f>801+2645.5+F48</f>
        <v>4048.7</v>
      </c>
      <c r="E48" s="31">
        <v>420.2</v>
      </c>
      <c r="F48" s="31">
        <f>117.3+325.9+159</f>
        <v>602.2</v>
      </c>
      <c r="G48" s="17">
        <f t="shared" si="0"/>
        <v>143.3127082341742</v>
      </c>
    </row>
    <row r="49" spans="1:7" s="10" customFormat="1" ht="19.5" customHeight="1">
      <c r="A49" s="25" t="s">
        <v>38</v>
      </c>
      <c r="B49" s="28">
        <v>150</v>
      </c>
      <c r="C49" s="31"/>
      <c r="D49" s="31">
        <f>124+491.4</f>
        <v>615.4</v>
      </c>
      <c r="E49" s="32">
        <v>0</v>
      </c>
      <c r="F49" s="31">
        <v>0</v>
      </c>
      <c r="G49" s="17">
        <v>0</v>
      </c>
    </row>
    <row r="50" spans="1:7" s="10" customFormat="1" ht="19.5" customHeight="1">
      <c r="A50" s="25" t="s">
        <v>39</v>
      </c>
      <c r="B50" s="28">
        <v>160</v>
      </c>
      <c r="C50" s="27"/>
      <c r="D50" s="27">
        <f>SUM(D51:D55)</f>
        <v>11153.4</v>
      </c>
      <c r="E50" s="27">
        <f>E51+E52+E53+E54+E55</f>
        <v>2739.5</v>
      </c>
      <c r="F50" s="27">
        <f>SUM(F51:F55)</f>
        <v>2938.1</v>
      </c>
      <c r="G50" s="17">
        <f aca="true" t="shared" si="1" ref="G50:G61">(F50/E50)*100</f>
        <v>107.2494980835919</v>
      </c>
    </row>
    <row r="51" spans="1:7" s="10" customFormat="1" ht="19.5" customHeight="1">
      <c r="A51" s="29" t="s">
        <v>107</v>
      </c>
      <c r="B51" s="30">
        <v>161</v>
      </c>
      <c r="C51" s="31"/>
      <c r="D51" s="31">
        <f>1830.7+2331.7+F51</f>
        <v>6279.9</v>
      </c>
      <c r="E51" s="31">
        <v>1889.3</v>
      </c>
      <c r="F51" s="31">
        <v>2117.5</v>
      </c>
      <c r="G51" s="17">
        <f t="shared" si="1"/>
        <v>112.07854761022602</v>
      </c>
    </row>
    <row r="52" spans="1:7" s="10" customFormat="1" ht="19.5" customHeight="1">
      <c r="A52" s="29" t="s">
        <v>108</v>
      </c>
      <c r="B52" s="30">
        <v>162</v>
      </c>
      <c r="C52" s="31"/>
      <c r="D52" s="31">
        <f>112.1+789.5+F52</f>
        <v>1497.7</v>
      </c>
      <c r="E52" s="31">
        <v>586.5</v>
      </c>
      <c r="F52" s="31">
        <v>596.1</v>
      </c>
      <c r="G52" s="17">
        <f t="shared" si="1"/>
        <v>101.63682864450128</v>
      </c>
    </row>
    <row r="53" spans="1:7" s="10" customFormat="1" ht="19.5" customHeight="1">
      <c r="A53" s="29" t="s">
        <v>109</v>
      </c>
      <c r="B53" s="30">
        <v>163</v>
      </c>
      <c r="C53" s="31"/>
      <c r="D53" s="31">
        <f>1934.1+1029.5+F53</f>
        <v>3064.1</v>
      </c>
      <c r="E53" s="31">
        <v>150.7</v>
      </c>
      <c r="F53" s="31">
        <v>100.5</v>
      </c>
      <c r="G53" s="17">
        <f t="shared" si="1"/>
        <v>66.68878566688787</v>
      </c>
    </row>
    <row r="54" spans="1:7" s="10" customFormat="1" ht="19.5" customHeight="1">
      <c r="A54" s="29" t="s">
        <v>110</v>
      </c>
      <c r="B54" s="30">
        <v>164</v>
      </c>
      <c r="C54" s="31"/>
      <c r="D54" s="31">
        <v>0</v>
      </c>
      <c r="E54" s="31">
        <v>0</v>
      </c>
      <c r="F54" s="31">
        <v>0</v>
      </c>
      <c r="G54" s="17">
        <v>0</v>
      </c>
    </row>
    <row r="55" spans="1:7" s="10" customFormat="1" ht="19.5" customHeight="1">
      <c r="A55" s="29" t="s">
        <v>111</v>
      </c>
      <c r="B55" s="30">
        <v>165</v>
      </c>
      <c r="C55" s="31"/>
      <c r="D55" s="31">
        <f>75.1+112.6+F55</f>
        <v>311.7</v>
      </c>
      <c r="E55" s="31">
        <v>113</v>
      </c>
      <c r="F55" s="31">
        <v>124</v>
      </c>
      <c r="G55" s="17">
        <f t="shared" si="1"/>
        <v>109.73451327433628</v>
      </c>
    </row>
    <row r="56" spans="1:7" s="10" customFormat="1" ht="19.5" customHeight="1">
      <c r="A56" s="25" t="s">
        <v>40</v>
      </c>
      <c r="B56" s="28">
        <v>170</v>
      </c>
      <c r="C56" s="31"/>
      <c r="D56" s="31">
        <f>52613.7+52502.7+F56</f>
        <v>156499.59999999998</v>
      </c>
      <c r="E56" s="31">
        <v>51333.6</v>
      </c>
      <c r="F56" s="31">
        <v>51383.2</v>
      </c>
      <c r="G56" s="17">
        <f t="shared" si="1"/>
        <v>100.09662287468637</v>
      </c>
    </row>
    <row r="57" spans="1:7" s="10" customFormat="1" ht="19.5" customHeight="1">
      <c r="A57" s="25" t="s">
        <v>41</v>
      </c>
      <c r="B57" s="28">
        <v>180</v>
      </c>
      <c r="C57" s="31"/>
      <c r="D57" s="31">
        <f>11247.6+11204.6+F57</f>
        <v>33279.3</v>
      </c>
      <c r="E57" s="31">
        <v>10684.5</v>
      </c>
      <c r="F57" s="31">
        <v>10827.1</v>
      </c>
      <c r="G57" s="17">
        <f t="shared" si="1"/>
        <v>101.33464364265994</v>
      </c>
    </row>
    <row r="58" spans="1:7" s="10" customFormat="1" ht="19.5" customHeight="1">
      <c r="A58" s="25" t="s">
        <v>42</v>
      </c>
      <c r="B58" s="28">
        <v>190</v>
      </c>
      <c r="C58" s="31"/>
      <c r="D58" s="31"/>
      <c r="E58" s="31"/>
      <c r="F58" s="31"/>
      <c r="G58" s="31"/>
    </row>
    <row r="59" spans="1:7" s="10" customFormat="1" ht="39" customHeight="1">
      <c r="A59" s="25" t="s">
        <v>43</v>
      </c>
      <c r="B59" s="28">
        <v>200</v>
      </c>
      <c r="C59" s="31"/>
      <c r="D59" s="31">
        <f>1747+1917.6+F59</f>
        <v>5711.8</v>
      </c>
      <c r="E59" s="31">
        <v>2160.6</v>
      </c>
      <c r="F59" s="31">
        <v>2047.2</v>
      </c>
      <c r="G59" s="17">
        <f t="shared" si="1"/>
        <v>94.75145792835325</v>
      </c>
    </row>
    <row r="60" spans="1:7" s="10" customFormat="1" ht="19.5" customHeight="1" hidden="1">
      <c r="A60" s="25"/>
      <c r="B60" s="28"/>
      <c r="C60" s="31"/>
      <c r="D60" s="31"/>
      <c r="E60" s="31"/>
      <c r="F60" s="31"/>
      <c r="G60" s="31"/>
    </row>
    <row r="61" spans="1:7" s="10" customFormat="1" ht="19.5" customHeight="1">
      <c r="A61" s="25" t="s">
        <v>112</v>
      </c>
      <c r="B61" s="28">
        <v>220</v>
      </c>
      <c r="C61" s="31"/>
      <c r="D61" s="31">
        <f>3043.9+3066.4+F61</f>
        <v>9450.3</v>
      </c>
      <c r="E61" s="31">
        <v>3341.5</v>
      </c>
      <c r="F61" s="31">
        <f>3109.1+182.1+48.8</f>
        <v>3340</v>
      </c>
      <c r="G61" s="17">
        <f t="shared" si="1"/>
        <v>99.95510998054766</v>
      </c>
    </row>
    <row r="62" spans="1:7" ht="19.5" customHeight="1">
      <c r="A62" s="25" t="s">
        <v>45</v>
      </c>
      <c r="B62" s="26">
        <v>230</v>
      </c>
      <c r="C62" s="27">
        <f>SUM(C63:C74,C75)</f>
        <v>0</v>
      </c>
      <c r="D62" s="27">
        <f>SUM(D63:D74,D75)</f>
        <v>13542.300000000001</v>
      </c>
      <c r="E62" s="27">
        <f>SUM(E63:E74,E75)</f>
        <v>4729.4</v>
      </c>
      <c r="F62" s="27">
        <f>SUM(F63:F74,F75)</f>
        <v>4676.6</v>
      </c>
      <c r="G62" s="17">
        <f>(F62/E62)*100</f>
        <v>98.88357931238636</v>
      </c>
    </row>
    <row r="63" spans="1:7" ht="19.5" customHeight="1">
      <c r="A63" s="29" t="s">
        <v>46</v>
      </c>
      <c r="B63" s="33">
        <v>231</v>
      </c>
      <c r="C63" s="31"/>
      <c r="D63" s="31"/>
      <c r="E63" s="31"/>
      <c r="F63" s="31"/>
      <c r="G63" s="31"/>
    </row>
    <row r="64" spans="1:7" ht="19.5" customHeight="1">
      <c r="A64" s="29" t="s">
        <v>47</v>
      </c>
      <c r="B64" s="33">
        <v>232</v>
      </c>
      <c r="C64" s="31"/>
      <c r="D64" s="31"/>
      <c r="E64" s="31"/>
      <c r="F64" s="31"/>
      <c r="G64" s="31"/>
    </row>
    <row r="65" spans="1:7" ht="19.5" customHeight="1">
      <c r="A65" s="29" t="s">
        <v>48</v>
      </c>
      <c r="B65" s="33">
        <v>233</v>
      </c>
      <c r="C65" s="31"/>
      <c r="D65" s="31">
        <f>6.8+512.6+F65</f>
        <v>794.4</v>
      </c>
      <c r="E65" s="31">
        <v>275.8</v>
      </c>
      <c r="F65" s="31">
        <v>275</v>
      </c>
      <c r="G65" s="17">
        <f>(F65/E65)*100</f>
        <v>99.70993473531544</v>
      </c>
    </row>
    <row r="66" spans="1:7" s="10" customFormat="1" ht="19.5" customHeight="1">
      <c r="A66" s="29" t="s">
        <v>49</v>
      </c>
      <c r="B66" s="33">
        <v>234</v>
      </c>
      <c r="C66" s="31"/>
      <c r="D66" s="31"/>
      <c r="E66" s="31"/>
      <c r="F66" s="31"/>
      <c r="G66" s="31"/>
    </row>
    <row r="67" spans="1:7" s="10" customFormat="1" ht="19.5" customHeight="1">
      <c r="A67" s="29" t="s">
        <v>50</v>
      </c>
      <c r="B67" s="33">
        <v>235</v>
      </c>
      <c r="C67" s="31"/>
      <c r="D67" s="31">
        <f>7.3+14.4+F67</f>
        <v>38.7</v>
      </c>
      <c r="E67" s="31">
        <v>17.1</v>
      </c>
      <c r="F67" s="31">
        <v>17</v>
      </c>
      <c r="G67" s="17">
        <f>(F67/E67)*100</f>
        <v>99.41520467836257</v>
      </c>
    </row>
    <row r="68" spans="1:7" s="10" customFormat="1" ht="19.5" customHeight="1">
      <c r="A68" s="29" t="s">
        <v>51</v>
      </c>
      <c r="B68" s="33">
        <v>236</v>
      </c>
      <c r="C68" s="31"/>
      <c r="D68" s="31">
        <f>2805.3+3000+F68</f>
        <v>8805.3</v>
      </c>
      <c r="E68" s="31">
        <v>3000</v>
      </c>
      <c r="F68" s="31">
        <v>3000</v>
      </c>
      <c r="G68" s="17">
        <f>(F68/E68)*100</f>
        <v>100</v>
      </c>
    </row>
    <row r="69" spans="1:7" s="10" customFormat="1" ht="19.5" customHeight="1">
      <c r="A69" s="29" t="s">
        <v>52</v>
      </c>
      <c r="B69" s="33">
        <v>237</v>
      </c>
      <c r="C69" s="31"/>
      <c r="D69" s="31">
        <f>617.2+660+F69</f>
        <v>1937.2</v>
      </c>
      <c r="E69" s="31">
        <v>660</v>
      </c>
      <c r="F69" s="31">
        <v>660</v>
      </c>
      <c r="G69" s="17">
        <f>(F69/E69)*100</f>
        <v>100</v>
      </c>
    </row>
    <row r="70" spans="1:7" s="10" customFormat="1" ht="19.5" customHeight="1">
      <c r="A70" s="29" t="s">
        <v>53</v>
      </c>
      <c r="B70" s="33">
        <v>238</v>
      </c>
      <c r="C70" s="31"/>
      <c r="D70" s="31">
        <f>6.7+20.9+F70</f>
        <v>54.2</v>
      </c>
      <c r="E70" s="31">
        <v>46.5</v>
      </c>
      <c r="F70" s="31">
        <v>26.6</v>
      </c>
      <c r="G70" s="17">
        <f>(F70/E70)*100</f>
        <v>57.204301075268816</v>
      </c>
    </row>
    <row r="71" spans="1:7" s="10" customFormat="1" ht="19.5" customHeight="1" hidden="1">
      <c r="A71" s="29"/>
      <c r="B71" s="33"/>
      <c r="C71" s="31"/>
      <c r="D71" s="31"/>
      <c r="E71" s="31"/>
      <c r="F71" s="31"/>
      <c r="G71" s="31"/>
    </row>
    <row r="72" spans="1:7" s="10" customFormat="1" ht="20.25" customHeight="1" hidden="1">
      <c r="A72" s="25"/>
      <c r="B72" s="26"/>
      <c r="C72" s="31"/>
      <c r="D72" s="31"/>
      <c r="E72" s="31"/>
      <c r="F72" s="31"/>
      <c r="G72" s="31"/>
    </row>
    <row r="73" spans="1:7" s="10" customFormat="1" ht="19.5" customHeight="1" hidden="1">
      <c r="A73" s="25"/>
      <c r="B73" s="26"/>
      <c r="C73" s="31"/>
      <c r="D73" s="31"/>
      <c r="E73" s="31"/>
      <c r="F73" s="31"/>
      <c r="G73" s="31"/>
    </row>
    <row r="74" spans="1:7" s="10" customFormat="1" ht="19.5" customHeight="1">
      <c r="A74" s="25" t="s">
        <v>54</v>
      </c>
      <c r="B74" s="26">
        <v>270</v>
      </c>
      <c r="C74" s="31"/>
      <c r="D74" s="31"/>
      <c r="E74" s="31"/>
      <c r="F74" s="31"/>
      <c r="G74" s="31"/>
    </row>
    <row r="75" spans="1:7" s="10" customFormat="1" ht="19.5" customHeight="1">
      <c r="A75" s="25" t="s">
        <v>113</v>
      </c>
      <c r="B75" s="26">
        <v>280</v>
      </c>
      <c r="C75" s="31"/>
      <c r="D75" s="31">
        <f>508.1+706.4+F75</f>
        <v>1912.5</v>
      </c>
      <c r="E75" s="31">
        <v>730</v>
      </c>
      <c r="F75" s="31">
        <v>698</v>
      </c>
      <c r="G75" s="17">
        <f>(F75/E75)*100</f>
        <v>95.61643835616438</v>
      </c>
    </row>
    <row r="76" spans="1:7" s="10" customFormat="1" ht="19.5" customHeight="1">
      <c r="A76" s="25" t="s">
        <v>55</v>
      </c>
      <c r="B76" s="26">
        <v>290</v>
      </c>
      <c r="C76" s="27"/>
      <c r="D76" s="27"/>
      <c r="E76" s="27"/>
      <c r="F76" s="27">
        <f>SUM(F77:F78)</f>
        <v>0</v>
      </c>
      <c r="G76" s="27">
        <f>SUM(G77:G78)</f>
        <v>0</v>
      </c>
    </row>
    <row r="77" spans="1:7" s="10" customFormat="1" ht="19.5" customHeight="1">
      <c r="A77" s="29" t="s">
        <v>56</v>
      </c>
      <c r="B77" s="33">
        <v>291</v>
      </c>
      <c r="C77" s="31"/>
      <c r="D77" s="31"/>
      <c r="E77" s="31"/>
      <c r="F77" s="31"/>
      <c r="G77" s="31"/>
    </row>
    <row r="78" spans="1:7" s="10" customFormat="1" ht="19.5" customHeight="1">
      <c r="A78" s="29" t="s">
        <v>57</v>
      </c>
      <c r="B78" s="33">
        <v>292</v>
      </c>
      <c r="C78" s="31"/>
      <c r="D78" s="31"/>
      <c r="E78" s="31"/>
      <c r="F78" s="31"/>
      <c r="G78" s="31"/>
    </row>
    <row r="79" spans="1:7" s="10" customFormat="1" ht="19.5" customHeight="1">
      <c r="A79" s="25" t="s">
        <v>58</v>
      </c>
      <c r="B79" s="26">
        <v>300</v>
      </c>
      <c r="C79" s="31"/>
      <c r="D79" s="31"/>
      <c r="E79" s="31"/>
      <c r="F79" s="31"/>
      <c r="G79" s="31"/>
    </row>
    <row r="80" spans="1:7" s="10" customFormat="1" ht="19.5" customHeight="1">
      <c r="A80" s="73" t="s">
        <v>59</v>
      </c>
      <c r="B80" s="73"/>
      <c r="C80" s="73"/>
      <c r="D80" s="73"/>
      <c r="E80" s="73"/>
      <c r="F80" s="73"/>
      <c r="G80" s="73"/>
    </row>
    <row r="81" spans="1:7" s="10" customFormat="1" ht="19.5" customHeight="1">
      <c r="A81" s="25" t="s">
        <v>60</v>
      </c>
      <c r="B81" s="26">
        <v>400</v>
      </c>
      <c r="C81" s="31"/>
      <c r="D81" s="35">
        <f>D45+D49+D50</f>
        <v>59967.8</v>
      </c>
      <c r="E81" s="35">
        <f>E45+E49+E50</f>
        <v>17809.7</v>
      </c>
      <c r="F81" s="35">
        <f>F45+F49+F50</f>
        <v>15605.100000000002</v>
      </c>
      <c r="G81" s="17">
        <f>(F81/E81)*100</f>
        <v>87.62135240908046</v>
      </c>
    </row>
    <row r="82" spans="1:7" s="10" customFormat="1" ht="19.5" customHeight="1">
      <c r="A82" s="25" t="s">
        <v>40</v>
      </c>
      <c r="B82" s="26">
        <v>410</v>
      </c>
      <c r="C82" s="31"/>
      <c r="D82" s="31">
        <f aca="true" t="shared" si="2" ref="D82:F83">D56+D68</f>
        <v>165304.89999999997</v>
      </c>
      <c r="E82" s="31">
        <f t="shared" si="2"/>
        <v>54333.6</v>
      </c>
      <c r="F82" s="31">
        <f t="shared" si="2"/>
        <v>54383.2</v>
      </c>
      <c r="G82" s="17">
        <f>(F82/E82)*100</f>
        <v>100.09128789551953</v>
      </c>
    </row>
    <row r="83" spans="1:7" s="10" customFormat="1" ht="19.5" customHeight="1">
      <c r="A83" s="25" t="s">
        <v>41</v>
      </c>
      <c r="B83" s="26">
        <v>420</v>
      </c>
      <c r="C83" s="31"/>
      <c r="D83" s="31">
        <f t="shared" si="2"/>
        <v>35216.5</v>
      </c>
      <c r="E83" s="31">
        <f t="shared" si="2"/>
        <v>11344.5</v>
      </c>
      <c r="F83" s="31">
        <f t="shared" si="2"/>
        <v>11487.1</v>
      </c>
      <c r="G83" s="17">
        <f>(F83/E83)*100</f>
        <v>101.25699678258187</v>
      </c>
    </row>
    <row r="84" spans="1:7" s="10" customFormat="1" ht="19.5" customHeight="1" hidden="1">
      <c r="A84" s="25"/>
      <c r="B84" s="26"/>
      <c r="C84" s="31"/>
      <c r="D84" s="31"/>
      <c r="E84" s="31"/>
      <c r="F84" s="31"/>
      <c r="G84" s="31"/>
    </row>
    <row r="85" spans="1:7" s="10" customFormat="1" ht="19.5" customHeight="1">
      <c r="A85" s="25" t="s">
        <v>61</v>
      </c>
      <c r="B85" s="26">
        <v>440</v>
      </c>
      <c r="C85" s="31"/>
      <c r="D85" s="36">
        <f>D75+D74+D70+D67+D65+D61+D59</f>
        <v>17961.899999999998</v>
      </c>
      <c r="E85" s="36">
        <f>E75+E74+E70+E67+E65+E61+E59</f>
        <v>6571.5</v>
      </c>
      <c r="F85" s="36">
        <f>F75+F74+F70+F67+F65+F61+F59</f>
        <v>6403.8</v>
      </c>
      <c r="G85" s="17">
        <f>(F85/E85)*100</f>
        <v>97.44807121661722</v>
      </c>
    </row>
    <row r="86" spans="1:7" s="10" customFormat="1" ht="19.5" customHeight="1">
      <c r="A86" s="25" t="s">
        <v>62</v>
      </c>
      <c r="B86" s="26">
        <v>450</v>
      </c>
      <c r="C86" s="31"/>
      <c r="D86" s="40">
        <f>SUM(D81:D85)</f>
        <v>278451.1</v>
      </c>
      <c r="E86" s="37">
        <f>SUM(E81:E85)</f>
        <v>90059.3</v>
      </c>
      <c r="F86" s="40">
        <f>SUM(F81:F85)</f>
        <v>87879.20000000001</v>
      </c>
      <c r="G86" s="17">
        <f>(F86/E86)*100</f>
        <v>97.579261664259</v>
      </c>
    </row>
    <row r="87" spans="1:7" s="10" customFormat="1" ht="19.5" customHeight="1">
      <c r="A87" s="73" t="s">
        <v>63</v>
      </c>
      <c r="B87" s="73"/>
      <c r="C87" s="73"/>
      <c r="D87" s="73"/>
      <c r="E87" s="73"/>
      <c r="F87" s="73"/>
      <c r="G87" s="73"/>
    </row>
    <row r="88" spans="1:7" s="10" customFormat="1" ht="19.5" customHeight="1">
      <c r="A88" s="25" t="s">
        <v>64</v>
      </c>
      <c r="B88" s="26">
        <v>500</v>
      </c>
      <c r="C88" s="27"/>
      <c r="D88" s="27"/>
      <c r="E88" s="27"/>
      <c r="F88" s="27">
        <f>SUM(F89)</f>
        <v>0</v>
      </c>
      <c r="G88" s="27">
        <f>SUM(G89)</f>
        <v>0</v>
      </c>
    </row>
    <row r="89" spans="1:7" s="10" customFormat="1" ht="19.5" customHeight="1">
      <c r="A89" s="25" t="s">
        <v>65</v>
      </c>
      <c r="B89" s="33">
        <v>501</v>
      </c>
      <c r="C89" s="31"/>
      <c r="D89" s="31"/>
      <c r="E89" s="31"/>
      <c r="F89" s="31"/>
      <c r="G89" s="31"/>
    </row>
    <row r="90" spans="1:7" s="10" customFormat="1" ht="19.5" customHeight="1">
      <c r="A90" s="34" t="s">
        <v>66</v>
      </c>
      <c r="B90" s="28">
        <v>510</v>
      </c>
      <c r="C90" s="24">
        <f>SUM(C91:C96)</f>
        <v>0</v>
      </c>
      <c r="D90" s="24">
        <f>SUM(D91:D96)</f>
        <v>48063.2</v>
      </c>
      <c r="E90" s="24">
        <f>SUM(E91:E96)</f>
        <v>984.9</v>
      </c>
      <c r="F90" s="24">
        <f>SUM(F91:F96)</f>
        <v>15602.199999999999</v>
      </c>
      <c r="G90" s="17"/>
    </row>
    <row r="91" spans="1:7" s="10" customFormat="1" ht="19.5" customHeight="1">
      <c r="A91" s="25" t="s">
        <v>67</v>
      </c>
      <c r="B91" s="30">
        <v>511</v>
      </c>
      <c r="C91" s="31"/>
      <c r="D91" s="31"/>
      <c r="E91" s="31"/>
      <c r="F91" s="31"/>
      <c r="G91" s="31"/>
    </row>
    <row r="92" spans="1:7" s="10" customFormat="1" ht="19.5" customHeight="1">
      <c r="A92" s="25" t="s">
        <v>68</v>
      </c>
      <c r="B92" s="30">
        <v>512</v>
      </c>
      <c r="C92" s="31"/>
      <c r="D92" s="31">
        <f>12699.3+18369.2+F92</f>
        <v>46670.7</v>
      </c>
      <c r="E92" s="31">
        <v>984.9</v>
      </c>
      <c r="F92" s="31">
        <f>817.3+14784.9</f>
        <v>15602.199999999999</v>
      </c>
      <c r="G92" s="17"/>
    </row>
    <row r="93" spans="1:7" s="10" customFormat="1" ht="19.5" customHeight="1">
      <c r="A93" s="25" t="s">
        <v>69</v>
      </c>
      <c r="B93" s="30">
        <v>513</v>
      </c>
      <c r="C93" s="31"/>
      <c r="D93" s="31"/>
      <c r="E93" s="31"/>
      <c r="F93" s="31"/>
      <c r="G93" s="31"/>
    </row>
    <row r="94" spans="1:7" s="10" customFormat="1" ht="19.5" customHeight="1">
      <c r="A94" s="25" t="s">
        <v>70</v>
      </c>
      <c r="B94" s="30">
        <v>514</v>
      </c>
      <c r="C94" s="31"/>
      <c r="D94" s="31"/>
      <c r="E94" s="31"/>
      <c r="F94" s="31"/>
      <c r="G94" s="31"/>
    </row>
    <row r="95" spans="1:7" s="10" customFormat="1" ht="42.75" customHeight="1">
      <c r="A95" s="25" t="s">
        <v>71</v>
      </c>
      <c r="B95" s="30">
        <v>515</v>
      </c>
      <c r="C95" s="31"/>
      <c r="D95" s="31">
        <f>49.5</f>
        <v>49.5</v>
      </c>
      <c r="E95" s="31">
        <v>0</v>
      </c>
      <c r="F95" s="31">
        <v>0</v>
      </c>
      <c r="G95" s="17">
        <v>0</v>
      </c>
    </row>
    <row r="96" spans="1:7" s="10" customFormat="1" ht="19.5" customHeight="1">
      <c r="A96" s="25" t="s">
        <v>72</v>
      </c>
      <c r="B96" s="33">
        <v>516</v>
      </c>
      <c r="C96" s="31"/>
      <c r="D96" s="31">
        <v>1343</v>
      </c>
      <c r="E96" s="31">
        <v>0</v>
      </c>
      <c r="F96" s="31">
        <v>0</v>
      </c>
      <c r="G96" s="17">
        <v>0</v>
      </c>
    </row>
    <row r="97" spans="1:7" s="10" customFormat="1" ht="19.5" customHeight="1">
      <c r="A97" s="73" t="s">
        <v>73</v>
      </c>
      <c r="B97" s="73"/>
      <c r="C97" s="73"/>
      <c r="D97" s="73"/>
      <c r="E97" s="73"/>
      <c r="F97" s="73"/>
      <c r="G97" s="73"/>
    </row>
    <row r="98" spans="1:7" s="10" customFormat="1" ht="19.5" customHeight="1">
      <c r="A98" s="25" t="s">
        <v>74</v>
      </c>
      <c r="B98" s="26">
        <v>600</v>
      </c>
      <c r="C98" s="27">
        <f>SUM(C99:C102)</f>
        <v>0</v>
      </c>
      <c r="D98" s="27">
        <f>SUM(D99:D102)</f>
        <v>0</v>
      </c>
      <c r="E98" s="27">
        <f>SUM(E99:E102)</f>
        <v>0</v>
      </c>
      <c r="F98" s="27">
        <f>SUM(F99:F102)</f>
        <v>0</v>
      </c>
      <c r="G98" s="27">
        <f>SUM(G99:G102)</f>
        <v>0</v>
      </c>
    </row>
    <row r="99" spans="1:7" s="10" customFormat="1" ht="19.5" customHeight="1">
      <c r="A99" s="29" t="s">
        <v>75</v>
      </c>
      <c r="B99" s="33">
        <v>601</v>
      </c>
      <c r="C99" s="31"/>
      <c r="D99" s="31"/>
      <c r="E99" s="31"/>
      <c r="F99" s="31"/>
      <c r="G99" s="31"/>
    </row>
    <row r="100" spans="1:7" s="10" customFormat="1" ht="19.5" customHeight="1">
      <c r="A100" s="29" t="s">
        <v>76</v>
      </c>
      <c r="B100" s="33">
        <v>602</v>
      </c>
      <c r="C100" s="31"/>
      <c r="D100" s="31"/>
      <c r="E100" s="31"/>
      <c r="F100" s="31"/>
      <c r="G100" s="31"/>
    </row>
    <row r="101" spans="1:7" s="10" customFormat="1" ht="19.5" customHeight="1">
      <c r="A101" s="29" t="s">
        <v>77</v>
      </c>
      <c r="B101" s="33">
        <v>603</v>
      </c>
      <c r="C101" s="31"/>
      <c r="D101" s="31"/>
      <c r="E101" s="31"/>
      <c r="F101" s="31"/>
      <c r="G101" s="31"/>
    </row>
    <row r="102" spans="1:7" s="10" customFormat="1" ht="19.5" customHeight="1">
      <c r="A102" s="25" t="s">
        <v>78</v>
      </c>
      <c r="B102" s="26">
        <v>610</v>
      </c>
      <c r="C102" s="31"/>
      <c r="D102" s="31"/>
      <c r="E102" s="31"/>
      <c r="F102" s="31"/>
      <c r="G102" s="31"/>
    </row>
    <row r="103" spans="1:7" s="10" customFormat="1" ht="19.5" customHeight="1">
      <c r="A103" s="25" t="s">
        <v>79</v>
      </c>
      <c r="B103" s="26">
        <v>620</v>
      </c>
      <c r="C103" s="27">
        <f>SUM(C104:C107)</f>
        <v>0</v>
      </c>
      <c r="D103" s="27">
        <f>SUM(D104:D107)</f>
        <v>0</v>
      </c>
      <c r="E103" s="27">
        <f>SUM(E104:E107)</f>
        <v>0</v>
      </c>
      <c r="F103" s="27">
        <f>SUM(F104:F107)</f>
        <v>0</v>
      </c>
      <c r="G103" s="27">
        <f>SUM(G104:G107)</f>
        <v>0</v>
      </c>
    </row>
    <row r="104" spans="1:7" s="10" customFormat="1" ht="19.5" customHeight="1">
      <c r="A104" s="29" t="s">
        <v>75</v>
      </c>
      <c r="B104" s="33">
        <v>621</v>
      </c>
      <c r="C104" s="31"/>
      <c r="D104" s="31"/>
      <c r="E104" s="31"/>
      <c r="F104" s="31"/>
      <c r="G104" s="31"/>
    </row>
    <row r="105" spans="1:7" s="10" customFormat="1" ht="19.5" customHeight="1">
      <c r="A105" s="29" t="s">
        <v>76</v>
      </c>
      <c r="B105" s="33">
        <v>622</v>
      </c>
      <c r="C105" s="31"/>
      <c r="D105" s="31"/>
      <c r="E105" s="31"/>
      <c r="F105" s="31"/>
      <c r="G105" s="31"/>
    </row>
    <row r="106" spans="1:7" s="10" customFormat="1" ht="19.5" customHeight="1">
      <c r="A106" s="29" t="s">
        <v>77</v>
      </c>
      <c r="B106" s="33">
        <v>623</v>
      </c>
      <c r="C106" s="31"/>
      <c r="D106" s="31"/>
      <c r="E106" s="31"/>
      <c r="F106" s="31"/>
      <c r="G106" s="31"/>
    </row>
    <row r="107" spans="1:7" s="10" customFormat="1" ht="19.5" customHeight="1">
      <c r="A107" s="13" t="s">
        <v>44</v>
      </c>
      <c r="B107" s="22">
        <v>630</v>
      </c>
      <c r="C107" s="9"/>
      <c r="D107" s="9"/>
      <c r="E107" s="9"/>
      <c r="F107" s="31"/>
      <c r="G107" s="9"/>
    </row>
    <row r="108" spans="1:7" ht="19.5" customHeight="1">
      <c r="A108" s="15" t="s">
        <v>80</v>
      </c>
      <c r="B108" s="39">
        <v>700</v>
      </c>
      <c r="C108" s="38">
        <f>SUM(C30+C34+C38+C76+C88+C98)</f>
        <v>0</v>
      </c>
      <c r="D108" s="38">
        <f>D30+D34+D38+D76+D88+D98+D31+D32+D35+D36+D37</f>
        <v>325343.1</v>
      </c>
      <c r="E108" s="38">
        <f>E30+E34+E38+E76+E88+E98+E31+E32+E35+E36+E37</f>
        <v>96275.6</v>
      </c>
      <c r="F108" s="38">
        <f>F30+F34+F38+F76+F88+F98+F31+F32+F35+F36+F37</f>
        <v>110758.5</v>
      </c>
      <c r="G108" s="40">
        <f>(F108/E108)*100</f>
        <v>115.0431677392818</v>
      </c>
    </row>
    <row r="109" spans="1:7" ht="19.5" customHeight="1">
      <c r="A109" s="15" t="s">
        <v>81</v>
      </c>
      <c r="B109" s="39">
        <v>800</v>
      </c>
      <c r="C109" s="38">
        <f>C45+C49+C50+C56+C57+C58+C60+C61+C62+C90+C103</f>
        <v>0</v>
      </c>
      <c r="D109" s="38">
        <f>D45+D49+D50+D56+D57+D59+D61+D62+D90</f>
        <v>326514.29999999993</v>
      </c>
      <c r="E109" s="38">
        <f>E45+E49+E50+E56+E57+E59+E61+E62+E90</f>
        <v>91044.2</v>
      </c>
      <c r="F109" s="38">
        <f>F45+F49+F50+F56+F57+F59+F61+F62+F90</f>
        <v>103481.40000000001</v>
      </c>
      <c r="G109" s="40">
        <f>(F109/E109)*100</f>
        <v>113.66061759013755</v>
      </c>
    </row>
    <row r="110" spans="1:7" ht="19.5" customHeight="1">
      <c r="A110" s="13" t="s">
        <v>82</v>
      </c>
      <c r="B110" s="22">
        <v>850</v>
      </c>
      <c r="C110" s="9">
        <v>11803.4</v>
      </c>
      <c r="D110" s="9">
        <f>C110+D108-D109</f>
        <v>10632.20000000007</v>
      </c>
      <c r="E110" s="9"/>
      <c r="F110" s="31"/>
      <c r="G110" s="40"/>
    </row>
    <row r="111" spans="1:7" ht="19.5" customHeight="1">
      <c r="A111" s="82" t="s">
        <v>89</v>
      </c>
      <c r="B111" s="82"/>
      <c r="C111" s="16"/>
      <c r="D111" s="16"/>
      <c r="E111" s="17"/>
      <c r="F111" s="40"/>
      <c r="G111" s="17"/>
    </row>
    <row r="112" spans="1:7" ht="19.5" customHeight="1">
      <c r="A112" s="13" t="s">
        <v>84</v>
      </c>
      <c r="B112" s="22">
        <v>900</v>
      </c>
      <c r="C112" s="9"/>
      <c r="D112" s="9"/>
      <c r="E112" s="58">
        <v>1000</v>
      </c>
      <c r="F112" s="28">
        <v>1003</v>
      </c>
      <c r="G112" s="40"/>
    </row>
    <row r="113" spans="1:7" ht="19.5" customHeight="1">
      <c r="A113" s="13" t="s">
        <v>85</v>
      </c>
      <c r="B113" s="22">
        <v>910</v>
      </c>
      <c r="C113" s="9"/>
      <c r="D113" s="9"/>
      <c r="E113" s="9">
        <v>3000</v>
      </c>
      <c r="F113" s="31">
        <v>4834</v>
      </c>
      <c r="G113" s="9"/>
    </row>
    <row r="114" spans="1:7" ht="19.5" customHeight="1">
      <c r="A114" s="13" t="s">
        <v>86</v>
      </c>
      <c r="B114" s="22">
        <v>920</v>
      </c>
      <c r="C114" s="9"/>
      <c r="D114" s="9"/>
      <c r="E114" s="9">
        <v>150</v>
      </c>
      <c r="F114" s="31">
        <v>213</v>
      </c>
      <c r="G114" s="9"/>
    </row>
    <row r="115" spans="1:7" ht="19.5" customHeight="1">
      <c r="A115" s="13" t="s">
        <v>87</v>
      </c>
      <c r="B115" s="22">
        <v>930</v>
      </c>
      <c r="C115" s="9"/>
      <c r="D115" s="9"/>
      <c r="E115" s="9">
        <v>10000</v>
      </c>
      <c r="F115" s="31">
        <v>244.2</v>
      </c>
      <c r="G115" s="43"/>
    </row>
    <row r="116" spans="1:7" ht="19.5" customHeight="1">
      <c r="A116" s="42" t="s">
        <v>88</v>
      </c>
      <c r="B116" s="22">
        <v>940</v>
      </c>
      <c r="C116" s="9"/>
      <c r="D116" s="9"/>
      <c r="E116" s="44">
        <v>0</v>
      </c>
      <c r="F116" s="54">
        <v>0</v>
      </c>
      <c r="G116" s="45"/>
    </row>
    <row r="117" spans="1:7" s="62" customFormat="1" ht="38.25" customHeight="1">
      <c r="A117" s="59" t="s">
        <v>118</v>
      </c>
      <c r="B117" s="60"/>
      <c r="C117" s="76"/>
      <c r="D117" s="76"/>
      <c r="E117" s="61"/>
      <c r="F117" s="77" t="s">
        <v>119</v>
      </c>
      <c r="G117" s="77"/>
    </row>
    <row r="124" spans="3:9" ht="18.75">
      <c r="C124" s="41"/>
      <c r="E124" s="46"/>
      <c r="F124" s="55"/>
      <c r="H124" s="69"/>
      <c r="I124" s="69"/>
    </row>
  </sheetData>
  <sheetProtection selectLockedCells="1" selectUnlockedCells="1"/>
  <mergeCells count="35">
    <mergeCell ref="D1:F1"/>
    <mergeCell ref="D2:G2"/>
    <mergeCell ref="A111:B111"/>
    <mergeCell ref="A28:G28"/>
    <mergeCell ref="A29:G29"/>
    <mergeCell ref="A80:G80"/>
    <mergeCell ref="A87:G87"/>
    <mergeCell ref="B18:E18"/>
    <mergeCell ref="B19:D19"/>
    <mergeCell ref="B20:D20"/>
    <mergeCell ref="F117:G117"/>
    <mergeCell ref="A23:G23"/>
    <mergeCell ref="A24:G24"/>
    <mergeCell ref="A25:A26"/>
    <mergeCell ref="B25:B26"/>
    <mergeCell ref="C25:D25"/>
    <mergeCell ref="E25:G25"/>
    <mergeCell ref="A21:G21"/>
    <mergeCell ref="A22:G22"/>
    <mergeCell ref="A97:G97"/>
    <mergeCell ref="B15:D15"/>
    <mergeCell ref="E15:F15"/>
    <mergeCell ref="B16:D16"/>
    <mergeCell ref="E16:F16"/>
    <mergeCell ref="C117:D117"/>
    <mergeCell ref="B13:D13"/>
    <mergeCell ref="B14:D14"/>
    <mergeCell ref="B12:E12"/>
    <mergeCell ref="B17:D17"/>
    <mergeCell ref="H124:I124"/>
    <mergeCell ref="B8:D8"/>
    <mergeCell ref="F8:G8"/>
    <mergeCell ref="B9:E9"/>
    <mergeCell ref="B10:D10"/>
    <mergeCell ref="B11:D11"/>
  </mergeCells>
  <printOptions/>
  <pageMargins left="0.7874015748031497" right="0.5905511811023623" top="0.5118110236220472" bottom="0.4724409448818898" header="0.5118110236220472" footer="0.5118110236220472"/>
  <pageSetup fitToHeight="0" fitToWidth="1" horizontalDpi="300" verticalDpi="300" orientation="landscape" paperSize="9" scale="64" r:id="rId1"/>
  <rowBreaks count="3" manualBreakCount="3">
    <brk id="49" max="255" man="1"/>
    <brk id="86" max="255" man="1"/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RePack by Diakov</cp:lastModifiedBy>
  <cp:lastPrinted>2023-12-18T08:20:18Z</cp:lastPrinted>
  <dcterms:created xsi:type="dcterms:W3CDTF">2023-04-05T11:24:44Z</dcterms:created>
  <dcterms:modified xsi:type="dcterms:W3CDTF">2023-12-18T08:20:40Z</dcterms:modified>
  <cp:category/>
  <cp:version/>
  <cp:contentType/>
  <cp:contentStatus/>
</cp:coreProperties>
</file>