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ІІІ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доходи!$A$6:$AM$44</definedName>
    <definedName name="_xlnm.Print_Area" localSheetId="2">' витрати'!$A$1:$X$115</definedName>
    <definedName name="_xlnm.Print_Area" localSheetId="0">ІІІ!$A$1:$F$70</definedName>
  </definedNames>
  <calcPr calcId="125725" refMode="R1C1"/>
</workbook>
</file>

<file path=xl/calcChain.xml><?xml version="1.0" encoding="utf-8"?>
<calcChain xmlns="http://schemas.openxmlformats.org/spreadsheetml/2006/main">
  <c r="J108" i="3"/>
  <c r="J78"/>
  <c r="J48"/>
  <c r="I48"/>
  <c r="J32"/>
  <c r="AE36" i="2" l="1"/>
  <c r="D37" i="1"/>
  <c r="AA26" i="2"/>
  <c r="AA36" s="1"/>
  <c r="AA8"/>
  <c r="C55" i="1" l="1"/>
  <c r="C37"/>
  <c r="C26"/>
  <c r="C28" s="1"/>
  <c r="C15"/>
  <c r="I104" i="3" l="1"/>
  <c r="I105"/>
  <c r="I91"/>
  <c r="I78"/>
  <c r="I69"/>
  <c r="I70"/>
  <c r="I68"/>
  <c r="I52"/>
  <c r="I53"/>
  <c r="I54"/>
  <c r="I55"/>
  <c r="I56"/>
  <c r="I57"/>
  <c r="I58"/>
  <c r="I59"/>
  <c r="I51"/>
  <c r="I50"/>
  <c r="I49"/>
  <c r="I35"/>
  <c r="I39"/>
  <c r="I40"/>
  <c r="I41"/>
  <c r="I38"/>
  <c r="I37"/>
  <c r="I36"/>
  <c r="I34"/>
  <c r="I42"/>
  <c r="I43"/>
  <c r="I32"/>
  <c r="I31"/>
  <c r="I22"/>
  <c r="I23"/>
  <c r="I24"/>
  <c r="I25"/>
  <c r="I26"/>
  <c r="I27"/>
  <c r="I28"/>
  <c r="I29"/>
  <c r="I30"/>
  <c r="I21"/>
  <c r="I14"/>
  <c r="I13"/>
  <c r="I12"/>
  <c r="I11"/>
  <c r="I9"/>
  <c r="I10"/>
  <c r="I8"/>
  <c r="I7" s="1"/>
  <c r="J34"/>
  <c r="K71"/>
  <c r="AE26" i="2" l="1"/>
  <c r="AE8"/>
  <c r="I71" i="3" l="1"/>
  <c r="I72"/>
  <c r="I73"/>
  <c r="I74"/>
  <c r="I76"/>
  <c r="I77"/>
  <c r="I19"/>
  <c r="I80" s="1"/>
  <c r="I93" s="1"/>
  <c r="E8" l="1"/>
  <c r="AM43" i="2"/>
  <c r="L91" i="3" l="1"/>
  <c r="L56"/>
  <c r="L41"/>
  <c r="D35" i="1"/>
  <c r="D36" s="1"/>
  <c r="D17"/>
  <c r="C17" l="1"/>
  <c r="Q105" i="3"/>
  <c r="R105"/>
  <c r="S105"/>
  <c r="T105"/>
  <c r="U105"/>
  <c r="V105"/>
  <c r="W105"/>
  <c r="X105"/>
  <c r="P105"/>
  <c r="P104"/>
  <c r="P101"/>
  <c r="O105"/>
  <c r="O104"/>
  <c r="O103"/>
  <c r="O102"/>
  <c r="O101"/>
  <c r="N104"/>
  <c r="N107"/>
  <c r="N106"/>
  <c r="N105"/>
  <c r="N103"/>
  <c r="N102"/>
  <c r="N101"/>
  <c r="M105"/>
  <c r="M106"/>
  <c r="M104"/>
  <c r="M103"/>
  <c r="M102"/>
  <c r="M101"/>
  <c r="M107"/>
  <c r="O107"/>
  <c r="O106"/>
  <c r="E105" l="1"/>
  <c r="E104"/>
  <c r="M100"/>
  <c r="E91"/>
  <c r="E48"/>
  <c r="X53"/>
  <c r="W53"/>
  <c r="V53"/>
  <c r="U53"/>
  <c r="T53"/>
  <c r="S53"/>
  <c r="R53"/>
  <c r="Q53"/>
  <c r="P53"/>
  <c r="O53"/>
  <c r="N53"/>
  <c r="M53"/>
  <c r="M52"/>
  <c r="E36"/>
  <c r="E35"/>
  <c r="X41"/>
  <c r="W41"/>
  <c r="V41"/>
  <c r="U41"/>
  <c r="T41"/>
  <c r="S41"/>
  <c r="R41"/>
  <c r="Q41"/>
  <c r="P41"/>
  <c r="O41"/>
  <c r="N41"/>
  <c r="M41"/>
  <c r="E32"/>
  <c r="E31"/>
  <c r="E30"/>
  <c r="X26"/>
  <c r="W26"/>
  <c r="V26"/>
  <c r="U26"/>
  <c r="T26"/>
  <c r="S26"/>
  <c r="R26"/>
  <c r="Q26"/>
  <c r="P26"/>
  <c r="O26"/>
  <c r="N26"/>
  <c r="M26"/>
  <c r="O25"/>
  <c r="N25"/>
  <c r="M25"/>
  <c r="X21"/>
  <c r="W21"/>
  <c r="V21"/>
  <c r="U21"/>
  <c r="T21"/>
  <c r="S21"/>
  <c r="R21"/>
  <c r="Q21"/>
  <c r="P21"/>
  <c r="O21"/>
  <c r="N21"/>
  <c r="M21"/>
  <c r="J100"/>
  <c r="I67"/>
  <c r="I60"/>
  <c r="I61"/>
  <c r="E69"/>
  <c r="E70"/>
  <c r="E68"/>
  <c r="E61"/>
  <c r="E52"/>
  <c r="E53"/>
  <c r="E54"/>
  <c r="E55"/>
  <c r="E56"/>
  <c r="E57"/>
  <c r="E58"/>
  <c r="E59"/>
  <c r="E51"/>
  <c r="E50"/>
  <c r="E49"/>
  <c r="E38"/>
  <c r="E39"/>
  <c r="E40"/>
  <c r="E41"/>
  <c r="E42"/>
  <c r="E37"/>
  <c r="N100"/>
  <c r="N108" s="1"/>
  <c r="O100"/>
  <c r="O108" s="1"/>
  <c r="N67"/>
  <c r="O67"/>
  <c r="M67"/>
  <c r="O48"/>
  <c r="N48"/>
  <c r="M48"/>
  <c r="N34"/>
  <c r="O34"/>
  <c r="M34"/>
  <c r="N32"/>
  <c r="O32"/>
  <c r="M32"/>
  <c r="P48"/>
  <c r="F32"/>
  <c r="G32"/>
  <c r="H32"/>
  <c r="X32"/>
  <c r="E22"/>
  <c r="E23"/>
  <c r="E24"/>
  <c r="E25"/>
  <c r="E26"/>
  <c r="E27"/>
  <c r="E28"/>
  <c r="E29"/>
  <c r="E21"/>
  <c r="E14"/>
  <c r="E10"/>
  <c r="E11"/>
  <c r="E12"/>
  <c r="E13"/>
  <c r="E9"/>
  <c r="P7"/>
  <c r="P19" s="1"/>
  <c r="M7"/>
  <c r="M19" s="1"/>
  <c r="N7"/>
  <c r="N19" s="1"/>
  <c r="O7"/>
  <c r="O19" s="1"/>
  <c r="F44" i="2"/>
  <c r="AE44"/>
  <c r="AE45" s="1"/>
  <c r="AB44"/>
  <c r="AC44"/>
  <c r="AD44"/>
  <c r="AA44"/>
  <c r="M108" i="3" l="1"/>
  <c r="O78"/>
  <c r="O80" s="1"/>
  <c r="O93" s="1"/>
  <c r="M78"/>
  <c r="M80" s="1"/>
  <c r="M93" s="1"/>
  <c r="N78"/>
  <c r="N80" s="1"/>
  <c r="N93" s="1"/>
  <c r="E34"/>
  <c r="AI43" i="2" l="1"/>
  <c r="W43"/>
  <c r="H43"/>
  <c r="G43"/>
  <c r="E43"/>
  <c r="K43" i="3" l="1"/>
  <c r="K29"/>
  <c r="F40" i="1" l="1"/>
  <c r="F37"/>
  <c r="E37" l="1"/>
  <c r="D19"/>
  <c r="F26" i="2" l="1"/>
  <c r="F36" s="1"/>
  <c r="F8"/>
  <c r="K60" i="3" l="1"/>
  <c r="K61"/>
  <c r="AM30" i="2" l="1"/>
  <c r="AM34"/>
  <c r="AI13"/>
  <c r="AA45"/>
  <c r="D59" i="1" l="1"/>
  <c r="C59"/>
  <c r="W9" i="2" l="1"/>
  <c r="G9"/>
  <c r="Q34" i="3" l="1"/>
  <c r="R34"/>
  <c r="S34"/>
  <c r="T34"/>
  <c r="U34"/>
  <c r="V34"/>
  <c r="W34"/>
  <c r="X34"/>
  <c r="P34"/>
  <c r="G34"/>
  <c r="H34"/>
  <c r="F34"/>
  <c r="H48"/>
  <c r="G48"/>
  <c r="Q48"/>
  <c r="R48"/>
  <c r="S48"/>
  <c r="T48"/>
  <c r="U48"/>
  <c r="V48"/>
  <c r="W48"/>
  <c r="X48"/>
  <c r="F48"/>
  <c r="K59" l="1"/>
  <c r="L59" l="1"/>
  <c r="W32" l="1"/>
  <c r="V32"/>
  <c r="U32"/>
  <c r="T32"/>
  <c r="S32"/>
  <c r="R32"/>
  <c r="Q32"/>
  <c r="P32"/>
  <c r="L21"/>
  <c r="H27"/>
  <c r="G27"/>
  <c r="H24"/>
  <c r="G24"/>
  <c r="H22"/>
  <c r="E54" i="1" l="1"/>
  <c r="F54"/>
  <c r="J7" i="3" l="1"/>
  <c r="J19" s="1"/>
  <c r="J80" s="1"/>
  <c r="L9"/>
  <c r="L10"/>
  <c r="L11"/>
  <c r="L12"/>
  <c r="L13"/>
  <c r="J67"/>
  <c r="L44"/>
  <c r="L45"/>
  <c r="L46"/>
  <c r="L62"/>
  <c r="L63"/>
  <c r="L64"/>
  <c r="L65"/>
  <c r="K62"/>
  <c r="K63"/>
  <c r="K64"/>
  <c r="K65"/>
  <c r="K66"/>
  <c r="K67" l="1"/>
  <c r="L19"/>
  <c r="K13"/>
  <c r="K12"/>
  <c r="K11"/>
  <c r="K10"/>
  <c r="K9"/>
  <c r="J93" l="1"/>
  <c r="L93" s="1"/>
  <c r="K78"/>
  <c r="K42"/>
  <c r="K44"/>
  <c r="K45"/>
  <c r="K46"/>
  <c r="K28"/>
  <c r="K27"/>
  <c r="E17" i="1" l="1"/>
  <c r="L24" i="3"/>
  <c r="X107"/>
  <c r="W107"/>
  <c r="V107"/>
  <c r="U107"/>
  <c r="T107"/>
  <c r="S107"/>
  <c r="I107" s="1"/>
  <c r="R107"/>
  <c r="Q107"/>
  <c r="P107"/>
  <c r="H107"/>
  <c r="G107"/>
  <c r="F107"/>
  <c r="X106"/>
  <c r="W106"/>
  <c r="V106"/>
  <c r="U106"/>
  <c r="T106"/>
  <c r="S106"/>
  <c r="I106" s="1"/>
  <c r="R106"/>
  <c r="Q106"/>
  <c r="P106"/>
  <c r="H106"/>
  <c r="G106"/>
  <c r="F106"/>
  <c r="H105"/>
  <c r="G105"/>
  <c r="F105"/>
  <c r="X104"/>
  <c r="W104"/>
  <c r="V104"/>
  <c r="U104"/>
  <c r="T104"/>
  <c r="S104"/>
  <c r="R104"/>
  <c r="Q104"/>
  <c r="H104"/>
  <c r="G104"/>
  <c r="F104"/>
  <c r="U103"/>
  <c r="Q103"/>
  <c r="P103"/>
  <c r="H103"/>
  <c r="G103"/>
  <c r="F103"/>
  <c r="Q102"/>
  <c r="P102"/>
  <c r="H102"/>
  <c r="G102"/>
  <c r="F102"/>
  <c r="H101"/>
  <c r="G101"/>
  <c r="F101"/>
  <c r="E88"/>
  <c r="E87"/>
  <c r="E86"/>
  <c r="X85"/>
  <c r="W85"/>
  <c r="V85"/>
  <c r="U85"/>
  <c r="T85"/>
  <c r="S85"/>
  <c r="R85"/>
  <c r="Q85"/>
  <c r="P85"/>
  <c r="H85"/>
  <c r="G85"/>
  <c r="F85"/>
  <c r="E85"/>
  <c r="E84"/>
  <c r="E83"/>
  <c r="E82" s="1"/>
  <c r="X82"/>
  <c r="W82"/>
  <c r="V82"/>
  <c r="U82"/>
  <c r="T82"/>
  <c r="S82"/>
  <c r="R82"/>
  <c r="Q82"/>
  <c r="P82"/>
  <c r="H82"/>
  <c r="G82"/>
  <c r="F82"/>
  <c r="E77"/>
  <c r="E76"/>
  <c r="X75"/>
  <c r="W75"/>
  <c r="V75"/>
  <c r="U75"/>
  <c r="T75"/>
  <c r="S75"/>
  <c r="R75"/>
  <c r="Q75"/>
  <c r="P75"/>
  <c r="I75" s="1"/>
  <c r="H75"/>
  <c r="G75"/>
  <c r="F75"/>
  <c r="E75"/>
  <c r="E74"/>
  <c r="E73"/>
  <c r="E72"/>
  <c r="E71"/>
  <c r="L70"/>
  <c r="L69"/>
  <c r="X67"/>
  <c r="X78" s="1"/>
  <c r="W67"/>
  <c r="V67"/>
  <c r="V78" s="1"/>
  <c r="U67"/>
  <c r="U78" s="1"/>
  <c r="T67"/>
  <c r="T78" s="1"/>
  <c r="S67"/>
  <c r="S78" s="1"/>
  <c r="R67"/>
  <c r="R78" s="1"/>
  <c r="Q67"/>
  <c r="Q78" s="1"/>
  <c r="P67"/>
  <c r="P78" s="1"/>
  <c r="P80" s="1"/>
  <c r="P93" s="1"/>
  <c r="H67"/>
  <c r="H78" s="1"/>
  <c r="G67"/>
  <c r="G78" s="1"/>
  <c r="F67"/>
  <c r="F78" s="1"/>
  <c r="E65"/>
  <c r="X64"/>
  <c r="W64"/>
  <c r="V64"/>
  <c r="U64"/>
  <c r="T64"/>
  <c r="S64"/>
  <c r="R64"/>
  <c r="Q64"/>
  <c r="P64"/>
  <c r="H64"/>
  <c r="G64"/>
  <c r="F64"/>
  <c r="E64" s="1"/>
  <c r="A64"/>
  <c r="A65" s="1"/>
  <c r="X63"/>
  <c r="X62" s="1"/>
  <c r="W63"/>
  <c r="W62" s="1"/>
  <c r="V63"/>
  <c r="V62" s="1"/>
  <c r="U63"/>
  <c r="U62" s="1"/>
  <c r="T63"/>
  <c r="T62" s="1"/>
  <c r="S63"/>
  <c r="S62" s="1"/>
  <c r="R63"/>
  <c r="R62" s="1"/>
  <c r="Q63"/>
  <c r="Q62" s="1"/>
  <c r="P63"/>
  <c r="P62" s="1"/>
  <c r="H63"/>
  <c r="H62" s="1"/>
  <c r="G63"/>
  <c r="G62" s="1"/>
  <c r="F63"/>
  <c r="E63" s="1"/>
  <c r="E62" s="1"/>
  <c r="L57"/>
  <c r="L55"/>
  <c r="L53"/>
  <c r="L51"/>
  <c r="A50"/>
  <c r="A51" s="1"/>
  <c r="A52" s="1"/>
  <c r="A53" s="1"/>
  <c r="A54" s="1"/>
  <c r="A55" s="1"/>
  <c r="A56" s="1"/>
  <c r="A57" s="1"/>
  <c r="A58" s="1"/>
  <c r="L49"/>
  <c r="X46"/>
  <c r="W46"/>
  <c r="V46"/>
  <c r="U46"/>
  <c r="T46"/>
  <c r="S46"/>
  <c r="R46"/>
  <c r="Q46"/>
  <c r="P46"/>
  <c r="H46"/>
  <c r="G46"/>
  <c r="F46"/>
  <c r="E46" s="1"/>
  <c r="A46"/>
  <c r="X45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H45"/>
  <c r="H44" s="1"/>
  <c r="G45"/>
  <c r="G44" s="1"/>
  <c r="F45"/>
  <c r="E45" s="1"/>
  <c r="E44" s="1"/>
  <c r="X44"/>
  <c r="K41"/>
  <c r="L39"/>
  <c r="L37"/>
  <c r="A36"/>
  <c r="A37" s="1"/>
  <c r="A38" s="1"/>
  <c r="A39" s="1"/>
  <c r="A40" s="1"/>
  <c r="A41" s="1"/>
  <c r="L35"/>
  <c r="L31"/>
  <c r="L30"/>
  <c r="X101"/>
  <c r="W101"/>
  <c r="V101"/>
  <c r="U101"/>
  <c r="T101"/>
  <c r="S101"/>
  <c r="I101" s="1"/>
  <c r="R101"/>
  <c r="Q101"/>
  <c r="K24"/>
  <c r="X103"/>
  <c r="W103"/>
  <c r="V103"/>
  <c r="T103"/>
  <c r="R103"/>
  <c r="W102"/>
  <c r="U102"/>
  <c r="S102"/>
  <c r="K21"/>
  <c r="E18"/>
  <c r="E17"/>
  <c r="E16"/>
  <c r="E15"/>
  <c r="E7" s="1"/>
  <c r="W7"/>
  <c r="W19" s="1"/>
  <c r="U7"/>
  <c r="S7"/>
  <c r="S19" s="1"/>
  <c r="Q7"/>
  <c r="Q19" s="1"/>
  <c r="X7"/>
  <c r="V7"/>
  <c r="V19" s="1"/>
  <c r="T7"/>
  <c r="R7"/>
  <c r="R19" s="1"/>
  <c r="G7"/>
  <c r="G19" s="1"/>
  <c r="F7"/>
  <c r="F19" s="1"/>
  <c r="F80" l="1"/>
  <c r="F93" s="1"/>
  <c r="Q80"/>
  <c r="Q93" s="1"/>
  <c r="S80"/>
  <c r="S93" s="1"/>
  <c r="U80"/>
  <c r="U93" s="1"/>
  <c r="G80"/>
  <c r="G93" s="1"/>
  <c r="R80"/>
  <c r="R93" s="1"/>
  <c r="T80"/>
  <c r="T93" s="1"/>
  <c r="V80"/>
  <c r="V93" s="1"/>
  <c r="X80"/>
  <c r="X93" s="1"/>
  <c r="E107"/>
  <c r="E106"/>
  <c r="T89"/>
  <c r="T19"/>
  <c r="X89"/>
  <c r="X19"/>
  <c r="U89"/>
  <c r="U19"/>
  <c r="L105"/>
  <c r="L104"/>
  <c r="G100"/>
  <c r="G108" s="1"/>
  <c r="L67"/>
  <c r="K55"/>
  <c r="K70"/>
  <c r="K49"/>
  <c r="K51"/>
  <c r="K37"/>
  <c r="K35"/>
  <c r="K31"/>
  <c r="K22"/>
  <c r="L22"/>
  <c r="K25"/>
  <c r="L25"/>
  <c r="K26"/>
  <c r="L26"/>
  <c r="K36"/>
  <c r="L36"/>
  <c r="K40"/>
  <c r="L40"/>
  <c r="K50"/>
  <c r="L50"/>
  <c r="K54"/>
  <c r="L54"/>
  <c r="K58"/>
  <c r="K30"/>
  <c r="K91" s="1"/>
  <c r="K39"/>
  <c r="L48"/>
  <c r="K53"/>
  <c r="K57"/>
  <c r="K23"/>
  <c r="L23"/>
  <c r="K38"/>
  <c r="L38"/>
  <c r="K52"/>
  <c r="L52"/>
  <c r="K56"/>
  <c r="W78"/>
  <c r="W80" s="1"/>
  <c r="W93" s="1"/>
  <c r="E67"/>
  <c r="E78" s="1"/>
  <c r="K69"/>
  <c r="L34"/>
  <c r="L32"/>
  <c r="Q100"/>
  <c r="Q108" s="1"/>
  <c r="F100"/>
  <c r="H100"/>
  <c r="H108" s="1"/>
  <c r="L101"/>
  <c r="F62"/>
  <c r="L106"/>
  <c r="L107"/>
  <c r="Q89"/>
  <c r="P89"/>
  <c r="E19"/>
  <c r="H7"/>
  <c r="R89"/>
  <c r="R102"/>
  <c r="R100" s="1"/>
  <c r="R108" s="1"/>
  <c r="T102"/>
  <c r="T100" s="1"/>
  <c r="T108" s="1"/>
  <c r="V89"/>
  <c r="V102"/>
  <c r="V100" s="1"/>
  <c r="V108" s="1"/>
  <c r="X102"/>
  <c r="X100" s="1"/>
  <c r="X108" s="1"/>
  <c r="S103"/>
  <c r="K48"/>
  <c r="K104"/>
  <c r="K105"/>
  <c r="S89"/>
  <c r="U100"/>
  <c r="U108" s="1"/>
  <c r="W100"/>
  <c r="W108" s="1"/>
  <c r="F44"/>
  <c r="E80" l="1"/>
  <c r="E93" s="1"/>
  <c r="I102"/>
  <c r="S100"/>
  <c r="S108" s="1"/>
  <c r="I103"/>
  <c r="L103" s="1"/>
  <c r="E103"/>
  <c r="P100"/>
  <c r="E101"/>
  <c r="E102"/>
  <c r="H19"/>
  <c r="H80" s="1"/>
  <c r="H93" s="1"/>
  <c r="F89"/>
  <c r="W89"/>
  <c r="K106"/>
  <c r="F108"/>
  <c r="K34"/>
  <c r="H89"/>
  <c r="L78"/>
  <c r="K102"/>
  <c r="K32"/>
  <c r="K93" s="1"/>
  <c r="K107"/>
  <c r="K103"/>
  <c r="K101"/>
  <c r="G89"/>
  <c r="I108" l="1"/>
  <c r="L108" s="1"/>
  <c r="L102"/>
  <c r="I100"/>
  <c r="P108"/>
  <c r="E100"/>
  <c r="E108" s="1"/>
  <c r="E89"/>
  <c r="K7"/>
  <c r="K19" s="1"/>
  <c r="K80" s="1"/>
  <c r="L7"/>
  <c r="I89"/>
  <c r="K100" l="1"/>
  <c r="L100"/>
  <c r="K8"/>
  <c r="L8"/>
  <c r="K108"/>
  <c r="L80"/>
  <c r="W45" i="2" l="1"/>
  <c r="G45"/>
  <c r="E45"/>
  <c r="AL44"/>
  <c r="AK44"/>
  <c r="AJ44"/>
  <c r="AH44"/>
  <c r="AG44"/>
  <c r="AF44"/>
  <c r="W44"/>
  <c r="E44" s="1"/>
  <c r="G44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4" s="1"/>
  <c r="W38"/>
  <c r="E38" s="1"/>
  <c r="H38" s="1"/>
  <c r="G38"/>
  <c r="W37"/>
  <c r="E37" s="1"/>
  <c r="H37" s="1"/>
  <c r="G37"/>
  <c r="W35"/>
  <c r="H35"/>
  <c r="G35"/>
  <c r="AI30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W27"/>
  <c r="E27" s="1"/>
  <c r="H27" s="1"/>
  <c r="H26" s="1"/>
  <c r="G27"/>
  <c r="AL26"/>
  <c r="AL36" s="1"/>
  <c r="AL45" s="1"/>
  <c r="AK26"/>
  <c r="AK36" s="1"/>
  <c r="AK45" s="1"/>
  <c r="AJ26"/>
  <c r="AJ36" s="1"/>
  <c r="AJ45" s="1"/>
  <c r="AI26"/>
  <c r="AH26"/>
  <c r="AH36" s="1"/>
  <c r="AH45" s="1"/>
  <c r="AG26"/>
  <c r="AG36" s="1"/>
  <c r="AG45" s="1"/>
  <c r="AF26"/>
  <c r="AF36" s="1"/>
  <c r="AF45" s="1"/>
  <c r="AD26"/>
  <c r="AD36" s="1"/>
  <c r="AC26"/>
  <c r="AC36" s="1"/>
  <c r="AC45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M11"/>
  <c r="AI11"/>
  <c r="W11"/>
  <c r="G11"/>
  <c r="E11"/>
  <c r="H11" s="1"/>
  <c r="AM10"/>
  <c r="AI10"/>
  <c r="W10"/>
  <c r="G10"/>
  <c r="E10"/>
  <c r="H10" s="1"/>
  <c r="AM9"/>
  <c r="AI9"/>
  <c r="W36"/>
  <c r="E36" s="1"/>
  <c r="G36"/>
  <c r="E9"/>
  <c r="AL8"/>
  <c r="AK8"/>
  <c r="AJ8"/>
  <c r="AH8"/>
  <c r="AG8"/>
  <c r="AF8"/>
  <c r="AD8"/>
  <c r="AC8"/>
  <c r="AB8"/>
  <c r="W8"/>
  <c r="G8"/>
  <c r="E8"/>
  <c r="AI36" l="1"/>
  <c r="AI45" s="1"/>
  <c r="AM8"/>
  <c r="H44"/>
  <c r="H9"/>
  <c r="H36" s="1"/>
  <c r="AI8"/>
  <c r="F45"/>
  <c r="H45" s="1"/>
  <c r="AB45"/>
  <c r="AD45"/>
  <c r="AM44"/>
  <c r="AM36"/>
  <c r="AM26"/>
  <c r="H8"/>
  <c r="H19"/>
  <c r="AM45" l="1"/>
  <c r="D46" i="1"/>
  <c r="D55" s="1"/>
  <c r="C46"/>
  <c r="C19"/>
  <c r="E60" l="1"/>
  <c r="E59"/>
  <c r="F53"/>
  <c r="E53"/>
  <c r="F52"/>
  <c r="E52"/>
  <c r="E51"/>
  <c r="F50"/>
  <c r="E50"/>
  <c r="F49"/>
  <c r="E49"/>
  <c r="F48"/>
  <c r="E48"/>
  <c r="F47"/>
  <c r="E47"/>
  <c r="F46"/>
  <c r="E46"/>
  <c r="D41"/>
  <c r="D42" s="1"/>
  <c r="C42"/>
  <c r="E40"/>
  <c r="E39"/>
  <c r="E38"/>
  <c r="C36"/>
  <c r="C35"/>
  <c r="E33"/>
  <c r="E32"/>
  <c r="E31"/>
  <c r="D26"/>
  <c r="F25"/>
  <c r="E25"/>
  <c r="F24"/>
  <c r="E24"/>
  <c r="F23"/>
  <c r="E23"/>
  <c r="F22"/>
  <c r="E22"/>
  <c r="F19"/>
  <c r="F18"/>
  <c r="E18"/>
  <c r="D20"/>
  <c r="C20"/>
  <c r="F16"/>
  <c r="E16"/>
  <c r="F15"/>
  <c r="E15"/>
  <c r="C29" l="1"/>
  <c r="C30" s="1"/>
  <c r="D28"/>
  <c r="D29"/>
  <c r="E55"/>
  <c r="E26"/>
  <c r="E56" s="1"/>
  <c r="F26"/>
  <c r="F56" s="1"/>
  <c r="E35"/>
  <c r="D30"/>
  <c r="F20"/>
  <c r="E20"/>
  <c r="F42"/>
  <c r="E42"/>
  <c r="E19"/>
  <c r="F35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<sst xmlns="http://schemas.openxmlformats.org/spreadsheetml/2006/main" count="390" uniqueCount="249">
  <si>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</si>
  <si>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</si>
  <si>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</si>
  <si>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</si>
  <si>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</si>
  <si>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</si>
  <si>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</si>
  <si>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</si>
  <si>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</si>
  <si>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</si>
  <si>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</si>
  <si>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</si>
  <si>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</si>
  <si>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</si>
  <si>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</si>
  <si>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</si>
  <si>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</si>
  <si>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</si>
  <si>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</si>
  <si>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</si>
  <si>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</si>
  <si>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</si>
  <si>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</si>
  <si>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</si>
  <si>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</si>
  <si>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</si>
  <si>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</si>
  <si>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</si>
  <si>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</si>
  <si>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</si>
  <si>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</si>
  <si>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</si>
  <si>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</si>
  <si>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</si>
  <si>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</si>
  <si>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</si>
  <si>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</si>
  <si>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</si>
  <si>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</si>
  <si>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</si>
  <si>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</si>
  <si>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</si>
  <si>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</si>
  <si>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</si>
  <si>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</si>
  <si>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</si>
  <si>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</si>
  <si>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</si>
  <si>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</si>
  <si>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</si>
  <si>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</si>
  <si>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</si>
  <si>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</si>
  <si>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</si>
  <si>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</si>
  <si>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</si>
  <si>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</si>
  <si>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</si>
  <si>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</si>
  <si>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</si>
  <si>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</si>
  <si>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</si>
  <si>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</si>
  <si>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</si>
  <si>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</si>
  <si>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</si>
  <si>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</si>
  <si>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</si>
  <si>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</si>
  <si>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</si>
  <si>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</si>
  <si>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</si>
  <si>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</si>
  <si>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</si>
  <si>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</si>
  <si>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</si>
  <si>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</si>
  <si>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</si>
  <si>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</si>
  <si>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</si>
  <si>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</si>
  <si>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</si>
  <si>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</si>
  <si>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</si>
  <si>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</si>
  <si>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</si>
  <si>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</si>
  <si>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</si>
  <si>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</si>
  <si>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</si>
  <si>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</si>
  <si>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</si>
  <si>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</si>
  <si>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</si>
  <si>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</si>
  <si>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</si>
  <si>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</si>
  <si>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</si>
  <si>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</si>
  <si>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</si>
  <si>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</si>
  <si>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</si>
  <si>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</si>
  <si>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</si>
  <si>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</si>
  <si>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</si>
  <si>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</si>
  <si>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</si>
  <si>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</si>
  <si>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</si>
  <si>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</si>
  <si>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</si>
  <si>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</si>
  <si>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</si>
  <si>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</si>
  <si>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</si>
  <si>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</si>
  <si>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</si>
  <si>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</si>
  <si>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</si>
  <si>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</si>
  <si>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</si>
  <si>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</si>
  <si>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</si>
  <si>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</si>
  <si>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</si>
  <si>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</si>
  <si>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</si>
  <si>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</si>
  <si>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</si>
  <si>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</si>
  <si>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</si>
  <si>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</si>
  <si>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</si>
  <si>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</si>
  <si>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</si>
  <si>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</si>
  <si>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</si>
  <si>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</si>
  <si>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</si>
  <si>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</si>
  <si>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</si>
  <si>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</si>
  <si>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</si>
  <si>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</si>
  <si>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</si>
  <si>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</si>
  <si>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</si>
  <si>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</si>
  <si>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</si>
  <si>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</si>
  <si>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</si>
  <si>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</si>
  <si>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</si>
  <si>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</si>
  <si>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</si>
  <si>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</si>
  <si>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</si>
  <si>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</si>
  <si>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</si>
  <si>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</si>
  <si>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</si>
  <si>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</si>
  <si>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</si>
  <si>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</si>
  <si>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</si>
  <si>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</si>
  <si>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</si>
  <si>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</si>
  <si>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</si>
  <si>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</si>
  <si>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</si>
  <si>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</si>
  <si>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</si>
  <si>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</si>
  <si>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</si>
  <si>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</si>
  <si>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</si>
  <si>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</si>
  <si>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</si>
  <si>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</si>
  <si>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</si>
  <si>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</si>
  <si>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</si>
  <si>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</si>
  <si>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</si>
  <si>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</si>
  <si>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</si>
  <si>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</si>
  <si>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</si>
  <si>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</si>
  <si>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</si>
  <si>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</si>
  <si>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</si>
  <si>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</si>
  <si>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</si>
  <si>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</si>
  <si>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</si>
  <si>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</si>
  <si>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</si>
  <si>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</si>
  <si>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</si>
  <si>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</si>
  <si>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</si>
  <si>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</si>
  <si>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</si>
  <si>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</si>
  <si>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</si>
  <si>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</si>
  <si>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</si>
  <si>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</si>
  <si>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</si>
  <si>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</si>
  <si>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</si>
  <si>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</si>
  <si>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</si>
  <si>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</si>
  <si>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</si>
  <si>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</si>
  <si>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</si>
  <si>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</si>
  <si>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</si>
  <si>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</si>
  <si>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</si>
  <si>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</si>
  <si>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</si>
  <si>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</si>
  <si>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</si>
  <si>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</si>
  <si>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</si>
  <si>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___ ___________ 2023р.</t>
  </si>
  <si>
    <t>Додаток № 1 до фінансового плану на 2023 рік</t>
  </si>
  <si>
    <t>Доходи  по ММКП "РБУ" на 2023 рік</t>
  </si>
  <si>
    <t>Всього доходів за 2023 рік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</si>
  <si>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</si>
  <si>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2.6.</t>
  </si>
  <si>
    <t>Поточний ремонт вулиць міста</t>
  </si>
  <si>
    <t>Сабов Н.М.</t>
  </si>
  <si>
    <t>Витрати  по ММКП "РБУ" на 2023 р.</t>
  </si>
  <si>
    <t>2023 рік</t>
  </si>
  <si>
    <t>страхування авто</t>
  </si>
  <si>
    <t xml:space="preserve">паливо </t>
  </si>
  <si>
    <t>навчання посадових осіб</t>
  </si>
  <si>
    <t>відшкодування збитків</t>
  </si>
  <si>
    <t>ЗВІТ ПРО ВИКОНАННЯ ФІНАНСОВОГО ПЛАНУ ПІДПРИЄМСТВА за ІІІ квартал 2023 року</t>
  </si>
  <si>
    <t>План IІІ квартал 2023 року</t>
  </si>
  <si>
    <t>Факт IІІ квартал 2023 року</t>
  </si>
  <si>
    <t>ІІІ   квартал</t>
  </si>
  <si>
    <t>3 квартал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</si>
</sst>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86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 applyProtection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 applyProtection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 applyProtection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left" wrapText="1"/>
    </xf>
    <xf numFmtId="1" fontId="17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wrapText="1"/>
    </xf>
    <xf numFmtId="1" fontId="17" fillId="14" borderId="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 applyProtection="1">
      <alignment horizontal="center" vertical="center"/>
    </xf>
    <xf numFmtId="166" fontId="17" fillId="12" borderId="3" xfId="0" applyNumberFormat="1" applyFont="1" applyFill="1" applyBorder="1" applyAlignment="1" applyProtection="1">
      <alignment horizontal="center" vertical="center"/>
    </xf>
    <xf numFmtId="1" fontId="17" fillId="4" borderId="3" xfId="0" applyNumberFormat="1" applyFont="1" applyFill="1" applyBorder="1" applyAlignment="1" applyProtection="1">
      <alignment horizontal="left" vertical="center"/>
    </xf>
    <xf numFmtId="1" fontId="17" fillId="5" borderId="3" xfId="0" applyNumberFormat="1" applyFont="1" applyFill="1" applyBorder="1" applyAlignment="1" applyProtection="1">
      <alignment horizontal="center" vertical="center"/>
    </xf>
    <xf numFmtId="166" fontId="17" fillId="4" borderId="3" xfId="0" applyNumberFormat="1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 applyProtection="1">
      <alignment horizontal="center" vertical="center"/>
    </xf>
    <xf numFmtId="1" fontId="17" fillId="6" borderId="3" xfId="0" applyNumberFormat="1" applyFont="1" applyFill="1" applyBorder="1" applyAlignment="1" applyProtection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 applyProtection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wrapText="1"/>
    </xf>
    <xf numFmtId="0" fontId="17" fillId="14" borderId="3" xfId="0" applyFont="1" applyFill="1" applyBorder="1" applyAlignment="1" applyProtection="1">
      <alignment horizontal="center" wrapText="1"/>
    </xf>
    <xf numFmtId="166" fontId="17" fillId="14" borderId="3" xfId="0" applyNumberFormat="1" applyFont="1" applyFill="1" applyBorder="1" applyAlignment="1" applyProtection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 applyProtection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wrapText="1"/>
    </xf>
    <xf numFmtId="1" fontId="17" fillId="13" borderId="3" xfId="0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 applyProtection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/>
    </xf>
    <xf numFmtId="166" fontId="15" fillId="4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0" xfId="0" applyFont="1" applyBorder="1" applyAlignme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 applyProtection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 applyProtection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8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31" fillId="0" borderId="0" xfId="0" applyFont="1"/>
    <xf numFmtId="0" fontId="4" fillId="0" borderId="0" xfId="0" applyFont="1" applyAlignment="1">
      <alignment horizontal="center" vertical="center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9" fillId="4" borderId="18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 applyProtection="1">
      <alignment horizontal="center" vertical="center"/>
    </xf>
    <xf numFmtId="3" fontId="5" fillId="11" borderId="3" xfId="2" applyNumberFormat="1" applyFont="1" applyFill="1" applyBorder="1" applyAlignment="1" applyProtection="1">
      <alignment horizontal="center" vertical="center"/>
    </xf>
    <xf numFmtId="1" fontId="17" fillId="17" borderId="3" xfId="0" applyNumberFormat="1" applyFont="1" applyFill="1" applyBorder="1" applyAlignment="1" applyProtection="1">
      <alignment horizontal="center" vertical="center"/>
    </xf>
    <xf numFmtId="1" fontId="17" fillId="15" borderId="3" xfId="0" applyNumberFormat="1" applyFont="1" applyFill="1" applyBorder="1" applyAlignment="1" applyProtection="1">
      <alignment horizontal="center" vertical="center"/>
    </xf>
    <xf numFmtId="3" fontId="16" fillId="12" borderId="3" xfId="2" applyNumberFormat="1" applyFont="1" applyFill="1" applyBorder="1" applyAlignment="1" applyProtection="1">
      <alignment horizontal="center" vertical="center"/>
    </xf>
    <xf numFmtId="3" fontId="17" fillId="5" borderId="3" xfId="2" applyNumberFormat="1" applyFont="1" applyFill="1" applyBorder="1" applyAlignment="1" applyProtection="1">
      <alignment horizontal="center" vertical="center"/>
    </xf>
    <xf numFmtId="49" fontId="17" fillId="4" borderId="3" xfId="2" applyNumberFormat="1" applyFont="1" applyFill="1" applyBorder="1" applyAlignment="1" applyProtection="1"/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opLeftCell="A31" zoomScaleNormal="100" workbookViewId="0">
      <selection activeCell="D26" sqref="D26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" customWidth="1"/>
  </cols>
  <sheetData>
    <row r="1" spans="1:6">
      <c r="A1" s="105"/>
      <c r="B1" s="105"/>
      <c r="C1" s="105"/>
      <c r="D1" s="211"/>
      <c r="E1" s="212" t="s">
        <v>0</v>
      </c>
      <c r="F1" s="213"/>
    </row>
    <row r="2" spans="1:6">
      <c r="A2" s="105"/>
      <c r="B2" s="105"/>
      <c r="C2" s="105"/>
      <c r="D2" s="211"/>
      <c r="E2" s="212" t="s">
        <v>1</v>
      </c>
      <c r="F2" s="213"/>
    </row>
    <row r="3" spans="1:6">
      <c r="A3" s="105"/>
      <c r="B3" s="105"/>
      <c r="C3" s="105"/>
      <c r="D3" s="211"/>
      <c r="E3" s="212" t="s">
        <v>2</v>
      </c>
      <c r="F3" s="213"/>
    </row>
    <row r="4" spans="1:6">
      <c r="A4" s="105"/>
      <c r="B4" s="105"/>
      <c r="C4" s="105"/>
      <c r="D4" s="211"/>
      <c r="E4" s="212" t="s">
        <v>230</v>
      </c>
      <c r="F4" s="213"/>
    </row>
    <row r="5" spans="1:6">
      <c r="A5" s="105"/>
      <c r="B5" s="105"/>
      <c r="C5" s="105"/>
      <c r="D5" s="105"/>
      <c r="E5" s="105"/>
      <c r="F5" s="214"/>
    </row>
    <row r="6" spans="1:6">
      <c r="A6" s="254" t="s">
        <v>244</v>
      </c>
      <c r="B6" s="254"/>
      <c r="C6" s="254"/>
      <c r="D6" s="254"/>
      <c r="E6" s="254"/>
      <c r="F6" s="254"/>
    </row>
    <row r="7" spans="1:6">
      <c r="A7" s="254" t="s">
        <v>3</v>
      </c>
      <c r="B7" s="254"/>
      <c r="C7" s="254"/>
      <c r="D7" s="254"/>
      <c r="E7" s="254"/>
      <c r="F7" s="254"/>
    </row>
    <row r="8" spans="1:6">
      <c r="A8" s="105"/>
      <c r="B8" s="105"/>
      <c r="C8" s="105"/>
      <c r="D8" s="105"/>
      <c r="E8" s="105"/>
      <c r="F8" s="214"/>
    </row>
    <row r="9" spans="1:6">
      <c r="A9" s="105"/>
      <c r="B9" s="105"/>
      <c r="C9" s="105"/>
      <c r="D9" s="105"/>
      <c r="E9" s="105"/>
      <c r="F9" s="214"/>
    </row>
    <row r="10" spans="1:6">
      <c r="A10" s="215"/>
      <c r="B10" s="216" t="s">
        <v>4</v>
      </c>
      <c r="C10" s="215"/>
      <c r="D10" s="215"/>
      <c r="E10" s="215"/>
      <c r="F10" s="217"/>
    </row>
    <row r="11" spans="1:6">
      <c r="A11" s="215"/>
      <c r="B11" s="216" t="s">
        <v>5</v>
      </c>
      <c r="C11" s="215"/>
      <c r="D11" s="215"/>
      <c r="E11" s="215"/>
      <c r="F11" s="217"/>
    </row>
    <row r="12" spans="1:6" ht="60" customHeight="1">
      <c r="A12" s="255"/>
      <c r="B12" s="257" t="s">
        <v>6</v>
      </c>
      <c r="C12" s="257" t="s">
        <v>245</v>
      </c>
      <c r="D12" s="257" t="s">
        <v>246</v>
      </c>
      <c r="E12" s="260" t="s">
        <v>7</v>
      </c>
      <c r="F12" s="261" t="s">
        <v>8</v>
      </c>
    </row>
    <row r="13" spans="1:6">
      <c r="A13" s="256"/>
      <c r="B13" s="258"/>
      <c r="C13" s="259"/>
      <c r="D13" s="259"/>
      <c r="E13" s="258"/>
      <c r="F13" s="262"/>
    </row>
    <row r="14" spans="1:6">
      <c r="A14" s="218" t="s">
        <v>9</v>
      </c>
      <c r="B14" s="219"/>
      <c r="C14" s="219"/>
      <c r="D14" s="219"/>
      <c r="E14" s="219"/>
      <c r="F14" s="220"/>
    </row>
    <row r="15" spans="1:6" ht="30">
      <c r="A15" s="221" t="s">
        <v>10</v>
      </c>
      <c r="B15" s="222" t="s">
        <v>11</v>
      </c>
      <c r="C15" s="223">
        <f>53680.5</f>
        <v>53680.5</v>
      </c>
      <c r="D15" s="224">
        <v>47053.4</v>
      </c>
      <c r="E15" s="223">
        <f>D15-C15</f>
        <v>-6627.0999999999985</v>
      </c>
      <c r="F15" s="225">
        <f>D15/C15*100</f>
        <v>87.654548672236672</v>
      </c>
    </row>
    <row r="16" spans="1:6">
      <c r="A16" s="221" t="s">
        <v>12</v>
      </c>
      <c r="B16" s="222" t="s">
        <v>13</v>
      </c>
      <c r="C16" s="223">
        <v>8944.5</v>
      </c>
      <c r="D16" s="224">
        <v>7839.3</v>
      </c>
      <c r="E16" s="223">
        <f t="shared" ref="E16:E19" si="0">D16-C16</f>
        <v>-1105.1999999999998</v>
      </c>
      <c r="F16" s="225">
        <f t="shared" ref="F16:F19" si="1">D16/C16*100</f>
        <v>87.643803454636924</v>
      </c>
    </row>
    <row r="17" spans="1:6" ht="30">
      <c r="A17" s="221" t="s">
        <v>14</v>
      </c>
      <c r="B17" s="222" t="s">
        <v>15</v>
      </c>
      <c r="C17" s="223">
        <f>C15-C16</f>
        <v>44736</v>
      </c>
      <c r="D17" s="223">
        <f>D15-D16</f>
        <v>39214.1</v>
      </c>
      <c r="E17" s="223">
        <f>D17-C17</f>
        <v>-5521.9000000000015</v>
      </c>
      <c r="F17" s="225">
        <f>D17/C17*100</f>
        <v>87.656697067238909</v>
      </c>
    </row>
    <row r="18" spans="1:6">
      <c r="A18" s="221" t="s">
        <v>16</v>
      </c>
      <c r="B18" s="222" t="s">
        <v>17</v>
      </c>
      <c r="C18" s="223">
        <v>2620</v>
      </c>
      <c r="D18" s="224">
        <v>2824</v>
      </c>
      <c r="E18" s="223">
        <f t="shared" si="0"/>
        <v>204</v>
      </c>
      <c r="F18" s="225">
        <f t="shared" si="1"/>
        <v>107.78625954198473</v>
      </c>
    </row>
    <row r="19" spans="1:6">
      <c r="A19" s="221" t="s">
        <v>18</v>
      </c>
      <c r="B19" s="222" t="s">
        <v>19</v>
      </c>
      <c r="C19" s="223">
        <f>C18</f>
        <v>2620</v>
      </c>
      <c r="D19" s="223">
        <f>D18</f>
        <v>2824</v>
      </c>
      <c r="E19" s="223">
        <f t="shared" si="0"/>
        <v>204</v>
      </c>
      <c r="F19" s="225">
        <f t="shared" si="1"/>
        <v>107.78625954198473</v>
      </c>
    </row>
    <row r="20" spans="1:6">
      <c r="A20" s="226" t="s">
        <v>20</v>
      </c>
      <c r="B20" s="227" t="s">
        <v>21</v>
      </c>
      <c r="C20" s="228">
        <f>C17+C18</f>
        <v>47356</v>
      </c>
      <c r="D20" s="229">
        <f>D17+D18</f>
        <v>42038.1</v>
      </c>
      <c r="E20" s="229">
        <f>D20-C20</f>
        <v>-5317.9000000000015</v>
      </c>
      <c r="F20" s="229">
        <f>D20/C20*100</f>
        <v>88.770377565672774</v>
      </c>
    </row>
    <row r="21" spans="1:6">
      <c r="A21" s="218" t="s">
        <v>22</v>
      </c>
      <c r="B21" s="219"/>
      <c r="C21" s="219"/>
      <c r="D21" s="219"/>
      <c r="E21" s="219"/>
      <c r="F21" s="220"/>
    </row>
    <row r="22" spans="1:6" ht="30">
      <c r="A22" s="221" t="s">
        <v>23</v>
      </c>
      <c r="B22" s="222" t="s">
        <v>24</v>
      </c>
      <c r="C22" s="223">
        <v>38401.800000000003</v>
      </c>
      <c r="D22" s="224">
        <v>29586.3</v>
      </c>
      <c r="E22" s="223">
        <f>D22-C22</f>
        <v>-8815.5000000000036</v>
      </c>
      <c r="F22" s="225">
        <f t="shared" ref="F22:F25" si="2">D22/C22*100</f>
        <v>77.044044810399498</v>
      </c>
    </row>
    <row r="23" spans="1:6">
      <c r="A23" s="221" t="s">
        <v>25</v>
      </c>
      <c r="B23" s="222" t="s">
        <v>26</v>
      </c>
      <c r="C23" s="223">
        <v>2387.6999999999998</v>
      </c>
      <c r="D23" s="224">
        <v>2199</v>
      </c>
      <c r="E23" s="223">
        <f t="shared" ref="E23:E25" si="3">D23-C23</f>
        <v>-188.69999999999982</v>
      </c>
      <c r="F23" s="225">
        <f t="shared" si="2"/>
        <v>92.096997110189733</v>
      </c>
    </row>
    <row r="24" spans="1:6">
      <c r="A24" s="221" t="s">
        <v>27</v>
      </c>
      <c r="B24" s="222" t="s">
        <v>28</v>
      </c>
      <c r="C24" s="223">
        <v>1416.6</v>
      </c>
      <c r="D24" s="224">
        <v>1602.9</v>
      </c>
      <c r="E24" s="223">
        <f t="shared" si="3"/>
        <v>186.30000000000018</v>
      </c>
      <c r="F24" s="225">
        <f t="shared" si="2"/>
        <v>113.15120711562898</v>
      </c>
    </row>
    <row r="25" spans="1:6">
      <c r="A25" s="221" t="s">
        <v>29</v>
      </c>
      <c r="B25" s="222" t="s">
        <v>30</v>
      </c>
      <c r="C25" s="223">
        <v>2739.9</v>
      </c>
      <c r="D25" s="224">
        <v>2971</v>
      </c>
      <c r="E25" s="223">
        <f t="shared" si="3"/>
        <v>231.09999999999991</v>
      </c>
      <c r="F25" s="225">
        <f t="shared" si="2"/>
        <v>108.43461440198547</v>
      </c>
    </row>
    <row r="26" spans="1:6">
      <c r="A26" s="226" t="s">
        <v>31</v>
      </c>
      <c r="B26" s="227" t="s">
        <v>32</v>
      </c>
      <c r="C26" s="229">
        <f>C22+C23+C25+C24</f>
        <v>44946</v>
      </c>
      <c r="D26" s="229">
        <f>D22+D23+D25+D24</f>
        <v>36359.200000000004</v>
      </c>
      <c r="E26" s="230">
        <f>D26-C26</f>
        <v>-8586.7999999999956</v>
      </c>
      <c r="F26" s="231">
        <f>D26/C26*100</f>
        <v>80.895296578115975</v>
      </c>
    </row>
    <row r="27" spans="1:6">
      <c r="A27" s="251" t="s">
        <v>33</v>
      </c>
      <c r="B27" s="252"/>
      <c r="C27" s="252"/>
      <c r="D27" s="252"/>
      <c r="E27" s="252"/>
      <c r="F27" s="252"/>
    </row>
    <row r="28" spans="1:6" ht="30">
      <c r="A28" s="221" t="s">
        <v>34</v>
      </c>
      <c r="B28" s="222" t="s">
        <v>35</v>
      </c>
      <c r="C28" s="223">
        <f>C20-C26</f>
        <v>2410</v>
      </c>
      <c r="D28" s="223">
        <f>D20-D26</f>
        <v>5678.8999999999942</v>
      </c>
      <c r="E28" s="223">
        <f>D28-C28</f>
        <v>3268.8999999999942</v>
      </c>
      <c r="F28" s="225">
        <f t="shared" ref="F28:F42" si="4">D28/C28*100</f>
        <v>235.63900414937734</v>
      </c>
    </row>
    <row r="29" spans="1:6" ht="30">
      <c r="A29" s="221" t="s">
        <v>36</v>
      </c>
      <c r="B29" s="222" t="s">
        <v>37</v>
      </c>
      <c r="C29" s="223">
        <f>C28</f>
        <v>2410</v>
      </c>
      <c r="D29" s="223">
        <f>D20-D26-D32+D31-D33</f>
        <v>4656.599999999994</v>
      </c>
      <c r="E29" s="223">
        <f t="shared" ref="E29:E42" si="5">D29-C29</f>
        <v>2246.599999999994</v>
      </c>
      <c r="F29" s="225">
        <f>D29/C29*100</f>
        <v>193.21991701244787</v>
      </c>
    </row>
    <row r="30" spans="1:6">
      <c r="A30" s="221" t="s">
        <v>38</v>
      </c>
      <c r="B30" s="222" t="s">
        <v>39</v>
      </c>
      <c r="C30" s="223">
        <f>C29</f>
        <v>2410</v>
      </c>
      <c r="D30" s="223">
        <f>D20-D26</f>
        <v>5678.8999999999942</v>
      </c>
      <c r="E30" s="223">
        <f t="shared" si="5"/>
        <v>3268.8999999999942</v>
      </c>
      <c r="F30" s="225">
        <f t="shared" si="4"/>
        <v>235.63900414937734</v>
      </c>
    </row>
    <row r="31" spans="1:6">
      <c r="A31" s="221" t="s">
        <v>40</v>
      </c>
      <c r="B31" s="222" t="s">
        <v>41</v>
      </c>
      <c r="C31" s="223">
        <v>0</v>
      </c>
      <c r="D31" s="223">
        <v>0</v>
      </c>
      <c r="E31" s="223">
        <f>D31-C31</f>
        <v>0</v>
      </c>
      <c r="F31" s="232"/>
    </row>
    <row r="32" spans="1:6">
      <c r="A32" s="221" t="s">
        <v>42</v>
      </c>
      <c r="B32" s="222" t="s">
        <v>43</v>
      </c>
      <c r="C32" s="223">
        <v>0</v>
      </c>
      <c r="D32" s="223">
        <v>0</v>
      </c>
      <c r="E32" s="223">
        <f>D32-C32</f>
        <v>0</v>
      </c>
      <c r="F32" s="232"/>
    </row>
    <row r="33" spans="1:6" ht="30">
      <c r="A33" s="221" t="s">
        <v>44</v>
      </c>
      <c r="B33" s="222" t="s">
        <v>45</v>
      </c>
      <c r="C33" s="223">
        <v>0</v>
      </c>
      <c r="D33" s="223">
        <v>1022.3</v>
      </c>
      <c r="E33" s="223">
        <f>D33-C33</f>
        <v>1022.3</v>
      </c>
      <c r="F33" s="232"/>
    </row>
    <row r="34" spans="1:6" ht="18" customHeight="1">
      <c r="A34" s="253" t="s">
        <v>46</v>
      </c>
      <c r="B34" s="253"/>
      <c r="C34" s="253"/>
      <c r="D34" s="253"/>
      <c r="E34" s="253"/>
      <c r="F34" s="253"/>
    </row>
    <row r="35" spans="1:6" ht="45">
      <c r="A35" s="221" t="s">
        <v>47</v>
      </c>
      <c r="B35" s="222" t="s">
        <v>39</v>
      </c>
      <c r="C35" s="223">
        <f t="shared" ref="C35" si="6">C16</f>
        <v>8944.5</v>
      </c>
      <c r="D35" s="224">
        <f>D16</f>
        <v>7839.3</v>
      </c>
      <c r="E35" s="223">
        <f t="shared" si="5"/>
        <v>-1105.1999999999998</v>
      </c>
      <c r="F35" s="225">
        <f t="shared" si="4"/>
        <v>87.643803454636924</v>
      </c>
    </row>
    <row r="36" spans="1:6" ht="30">
      <c r="A36" s="221" t="s">
        <v>48</v>
      </c>
      <c r="B36" s="222" t="s">
        <v>49</v>
      </c>
      <c r="C36" s="223">
        <f t="shared" ref="C36" si="7">C16</f>
        <v>8944.5</v>
      </c>
      <c r="D36" s="224">
        <f>D35</f>
        <v>7839.3</v>
      </c>
      <c r="E36" s="223">
        <f t="shared" si="5"/>
        <v>-1105.1999999999998</v>
      </c>
      <c r="F36" s="225">
        <f t="shared" si="4"/>
        <v>87.643803454636924</v>
      </c>
    </row>
    <row r="37" spans="1:6">
      <c r="A37" s="221" t="s">
        <v>50</v>
      </c>
      <c r="B37" s="222" t="s">
        <v>51</v>
      </c>
      <c r="C37" s="177">
        <f>0.2</f>
        <v>0.2</v>
      </c>
      <c r="D37" s="177">
        <f>SUM(D38:D40)</f>
        <v>3.5</v>
      </c>
      <c r="E37" s="223">
        <f>D37-C37</f>
        <v>3.3</v>
      </c>
      <c r="F37" s="225">
        <f t="shared" si="4"/>
        <v>1750</v>
      </c>
    </row>
    <row r="38" spans="1:6">
      <c r="A38" s="221" t="s">
        <v>52</v>
      </c>
      <c r="B38" s="222" t="s">
        <v>53</v>
      </c>
      <c r="C38" s="233">
        <v>0</v>
      </c>
      <c r="D38" s="224">
        <v>0</v>
      </c>
      <c r="E38" s="223">
        <f t="shared" si="5"/>
        <v>0</v>
      </c>
      <c r="F38" s="225">
        <v>0</v>
      </c>
    </row>
    <row r="39" spans="1:6">
      <c r="A39" s="221" t="s">
        <v>54</v>
      </c>
      <c r="B39" s="222" t="s">
        <v>55</v>
      </c>
      <c r="C39" s="177">
        <v>0</v>
      </c>
      <c r="D39" s="224">
        <v>0</v>
      </c>
      <c r="E39" s="223">
        <f t="shared" si="5"/>
        <v>0</v>
      </c>
      <c r="F39" s="225">
        <v>0</v>
      </c>
    </row>
    <row r="40" spans="1:6">
      <c r="A40" s="221" t="s">
        <v>56</v>
      </c>
      <c r="B40" s="222" t="s">
        <v>57</v>
      </c>
      <c r="C40" s="177">
        <v>0.2</v>
      </c>
      <c r="D40" s="190">
        <v>3.5</v>
      </c>
      <c r="E40" s="223">
        <f t="shared" si="5"/>
        <v>3.3</v>
      </c>
      <c r="F40" s="225">
        <f t="shared" si="4"/>
        <v>1750</v>
      </c>
    </row>
    <row r="41" spans="1:6" ht="30">
      <c r="A41" s="221" t="s">
        <v>58</v>
      </c>
      <c r="B41" s="222" t="s">
        <v>43</v>
      </c>
      <c r="C41" s="223">
        <v>2790.6</v>
      </c>
      <c r="D41" s="224">
        <f>D52</f>
        <v>2378.4</v>
      </c>
      <c r="E41" s="223">
        <f t="shared" si="5"/>
        <v>-412.19999999999982</v>
      </c>
      <c r="F41" s="225">
        <f t="shared" si="4"/>
        <v>85.228983014405514</v>
      </c>
    </row>
    <row r="42" spans="1:6">
      <c r="A42" s="221" t="s">
        <v>59</v>
      </c>
      <c r="B42" s="222" t="s">
        <v>60</v>
      </c>
      <c r="C42" s="223">
        <f t="shared" ref="C42" si="8">C41</f>
        <v>2790.6</v>
      </c>
      <c r="D42" s="224">
        <f>D41</f>
        <v>2378.4</v>
      </c>
      <c r="E42" s="223">
        <f t="shared" si="5"/>
        <v>-412.19999999999982</v>
      </c>
      <c r="F42" s="225">
        <f t="shared" si="4"/>
        <v>85.228983014405514</v>
      </c>
    </row>
    <row r="43" spans="1:6">
      <c r="A43" s="105"/>
      <c r="B43" s="105"/>
      <c r="C43" s="105"/>
      <c r="D43" s="105"/>
      <c r="E43" s="105"/>
      <c r="F43" s="214"/>
    </row>
    <row r="44" spans="1:6">
      <c r="A44" s="105"/>
      <c r="B44" s="105"/>
      <c r="C44" s="105"/>
      <c r="D44" s="105"/>
      <c r="E44" s="105"/>
      <c r="F44" s="214"/>
    </row>
    <row r="45" spans="1:6" ht="18.75" customHeight="1">
      <c r="A45" s="253" t="s">
        <v>61</v>
      </c>
      <c r="B45" s="253"/>
      <c r="C45" s="253"/>
      <c r="D45" s="253"/>
      <c r="E45" s="253"/>
      <c r="F45" s="253"/>
    </row>
    <row r="46" spans="1:6" ht="30">
      <c r="A46" s="221" t="s">
        <v>62</v>
      </c>
      <c r="B46" s="222" t="s">
        <v>11</v>
      </c>
      <c r="C46" s="223">
        <f>SUM(C47:C49)</f>
        <v>26437.8</v>
      </c>
      <c r="D46" s="223">
        <f>SUM(D47:D49)</f>
        <v>19638.599999999999</v>
      </c>
      <c r="E46" s="223">
        <f t="shared" ref="E46:E53" si="9">D46-C46</f>
        <v>-6799.2000000000007</v>
      </c>
      <c r="F46" s="225">
        <f t="shared" ref="F46:F53" si="10">D46/C46*100</f>
        <v>74.282277647913205</v>
      </c>
    </row>
    <row r="47" spans="1:6" ht="30">
      <c r="A47" s="234" t="s">
        <v>63</v>
      </c>
      <c r="B47" s="222" t="s">
        <v>64</v>
      </c>
      <c r="C47" s="223">
        <v>14798.8</v>
      </c>
      <c r="D47" s="224">
        <v>10484.6</v>
      </c>
      <c r="E47" s="223">
        <f t="shared" si="9"/>
        <v>-4314.1999999999989</v>
      </c>
      <c r="F47" s="225">
        <f>D47/C47*100</f>
        <v>70.847636294834729</v>
      </c>
    </row>
    <row r="48" spans="1:6">
      <c r="A48" s="235" t="s">
        <v>211</v>
      </c>
      <c r="B48" s="236" t="s">
        <v>65</v>
      </c>
      <c r="C48" s="223">
        <v>3500</v>
      </c>
      <c r="D48" s="224">
        <v>2084.1999999999998</v>
      </c>
      <c r="E48" s="223">
        <f t="shared" si="9"/>
        <v>-1415.8000000000002</v>
      </c>
      <c r="F48" s="225">
        <f t="shared" si="10"/>
        <v>59.548571428571428</v>
      </c>
    </row>
    <row r="49" spans="1:6">
      <c r="A49" s="237" t="s">
        <v>66</v>
      </c>
      <c r="B49" s="222" t="s">
        <v>67</v>
      </c>
      <c r="C49" s="223">
        <v>8139</v>
      </c>
      <c r="D49" s="224">
        <v>7069.8</v>
      </c>
      <c r="E49" s="223">
        <f t="shared" si="9"/>
        <v>-1069.1999999999998</v>
      </c>
      <c r="F49" s="225">
        <f t="shared" si="10"/>
        <v>86.863251013638049</v>
      </c>
    </row>
    <row r="50" spans="1:6">
      <c r="A50" s="221" t="s">
        <v>68</v>
      </c>
      <c r="B50" s="222" t="s">
        <v>13</v>
      </c>
      <c r="C50" s="223">
        <v>12685.5</v>
      </c>
      <c r="D50" s="224">
        <v>11062.1</v>
      </c>
      <c r="E50" s="223">
        <f t="shared" si="9"/>
        <v>-1623.3999999999996</v>
      </c>
      <c r="F50" s="225">
        <f t="shared" si="10"/>
        <v>87.202711757518429</v>
      </c>
    </row>
    <row r="51" spans="1:6">
      <c r="A51" s="221" t="s">
        <v>69</v>
      </c>
      <c r="B51" s="222" t="s">
        <v>15</v>
      </c>
      <c r="C51" s="223">
        <v>0</v>
      </c>
      <c r="D51" s="224"/>
      <c r="E51" s="223">
        <f t="shared" si="9"/>
        <v>0</v>
      </c>
      <c r="F51" s="225">
        <v>0</v>
      </c>
    </row>
    <row r="52" spans="1:6">
      <c r="A52" s="221" t="s">
        <v>70</v>
      </c>
      <c r="B52" s="222" t="s">
        <v>17</v>
      </c>
      <c r="C52" s="223">
        <v>2790.6</v>
      </c>
      <c r="D52" s="224">
        <v>2378.4</v>
      </c>
      <c r="E52" s="223">
        <f t="shared" si="9"/>
        <v>-412.19999999999982</v>
      </c>
      <c r="F52" s="225">
        <f t="shared" si="10"/>
        <v>85.228983014405514</v>
      </c>
    </row>
    <row r="53" spans="1:6">
      <c r="A53" s="221" t="s">
        <v>71</v>
      </c>
      <c r="B53" s="222" t="s">
        <v>21</v>
      </c>
      <c r="C53" s="223">
        <v>292.3</v>
      </c>
      <c r="D53" s="224">
        <v>309.2</v>
      </c>
      <c r="E53" s="223">
        <f t="shared" si="9"/>
        <v>16.899999999999977</v>
      </c>
      <c r="F53" s="225">
        <f t="shared" si="10"/>
        <v>105.78173109818678</v>
      </c>
    </row>
    <row r="54" spans="1:6">
      <c r="A54" s="221" t="s">
        <v>16</v>
      </c>
      <c r="B54" s="222" t="s">
        <v>24</v>
      </c>
      <c r="C54" s="223">
        <v>119.8</v>
      </c>
      <c r="D54" s="224">
        <v>146.80000000000001</v>
      </c>
      <c r="E54" s="223">
        <f t="shared" ref="E54" si="11">D54-C54</f>
        <v>27.000000000000014</v>
      </c>
      <c r="F54" s="225">
        <f t="shared" ref="F54" si="12">D54/C54*100</f>
        <v>122.53756260434059</v>
      </c>
    </row>
    <row r="55" spans="1:6">
      <c r="A55" s="238" t="s">
        <v>72</v>
      </c>
      <c r="B55" s="227" t="s">
        <v>26</v>
      </c>
      <c r="C55" s="229">
        <f>C46+C50+C52+C53+C51+C54</f>
        <v>42326.000000000007</v>
      </c>
      <c r="D55" s="229">
        <f>D46+D50+D52+D53+D51+D54</f>
        <v>33535.1</v>
      </c>
      <c r="E55" s="230">
        <f>D55-C55</f>
        <v>-8790.9000000000087</v>
      </c>
      <c r="F55" s="229">
        <f>D55/C55*100</f>
        <v>79.230496621461967</v>
      </c>
    </row>
    <row r="56" spans="1:6" hidden="1">
      <c r="A56" s="105"/>
      <c r="B56" s="105"/>
      <c r="C56" s="105"/>
      <c r="D56" s="105"/>
      <c r="E56" s="239">
        <f>E26-E25</f>
        <v>-8817.899999999996</v>
      </c>
      <c r="F56" s="214">
        <f t="shared" ref="F56" si="13">F26-F25</f>
        <v>-27.539317823869496</v>
      </c>
    </row>
    <row r="57" spans="1:6">
      <c r="A57" s="105"/>
      <c r="B57" s="105"/>
      <c r="C57" s="105"/>
      <c r="D57" s="105"/>
      <c r="E57" s="105"/>
      <c r="F57" s="214"/>
    </row>
    <row r="58" spans="1:6" ht="20.25" customHeight="1">
      <c r="A58" s="253" t="s">
        <v>73</v>
      </c>
      <c r="B58" s="253"/>
      <c r="C58" s="253"/>
      <c r="D58" s="253"/>
      <c r="E58" s="253"/>
      <c r="F58" s="253"/>
    </row>
    <row r="59" spans="1:6" ht="18.75" customHeight="1">
      <c r="A59" s="221" t="s">
        <v>74</v>
      </c>
      <c r="B59" s="222" t="s">
        <v>64</v>
      </c>
      <c r="C59" s="223">
        <f>C60</f>
        <v>0</v>
      </c>
      <c r="D59" s="223">
        <f>D60</f>
        <v>0</v>
      </c>
      <c r="E59" s="223">
        <f t="shared" ref="E59:E60" si="14">D59-C59</f>
        <v>0</v>
      </c>
      <c r="F59" s="225" t="s">
        <v>75</v>
      </c>
    </row>
    <row r="60" spans="1:6" ht="30">
      <c r="A60" s="221" t="s">
        <v>76</v>
      </c>
      <c r="B60" s="222" t="s">
        <v>13</v>
      </c>
      <c r="C60" s="223"/>
      <c r="D60" s="223"/>
      <c r="E60" s="223">
        <f t="shared" si="14"/>
        <v>0</v>
      </c>
      <c r="F60" s="225" t="s">
        <v>75</v>
      </c>
    </row>
    <row r="61" spans="1:6" ht="45">
      <c r="A61" s="221" t="s">
        <v>77</v>
      </c>
      <c r="B61" s="222" t="s">
        <v>15</v>
      </c>
      <c r="C61" s="223" t="s">
        <v>75</v>
      </c>
      <c r="D61" s="223" t="s">
        <v>75</v>
      </c>
      <c r="E61" s="223" t="s">
        <v>75</v>
      </c>
      <c r="F61" s="232" t="s">
        <v>75</v>
      </c>
    </row>
    <row r="62" spans="1:6">
      <c r="A62" s="105"/>
      <c r="B62" s="105"/>
      <c r="C62" s="105"/>
      <c r="D62" s="105"/>
      <c r="E62" s="105"/>
      <c r="F62" s="214"/>
    </row>
    <row r="63" spans="1:6">
      <c r="A63" s="105"/>
      <c r="B63" s="105"/>
      <c r="C63" s="105"/>
      <c r="D63" s="105"/>
      <c r="E63" s="105"/>
      <c r="F63" s="214"/>
    </row>
    <row r="64" spans="1:6">
      <c r="A64" s="105"/>
      <c r="B64" s="105"/>
      <c r="C64" s="105"/>
      <c r="D64" s="105"/>
      <c r="E64" s="105"/>
      <c r="F64" s="214"/>
    </row>
    <row r="65" spans="1:6">
      <c r="A65" s="240"/>
      <c r="B65" s="240"/>
      <c r="C65" s="240"/>
      <c r="D65" s="240"/>
      <c r="E65" s="240"/>
      <c r="F65" s="213"/>
    </row>
    <row r="66" spans="1:6">
      <c r="A66" s="240"/>
      <c r="B66" s="240"/>
      <c r="C66" s="240"/>
      <c r="D66" s="240"/>
      <c r="E66" s="240"/>
      <c r="F66" s="213"/>
    </row>
    <row r="67" spans="1:6">
      <c r="A67" s="240" t="s">
        <v>78</v>
      </c>
      <c r="B67" s="240"/>
      <c r="C67" s="240"/>
      <c r="D67" s="240"/>
      <c r="E67" s="240" t="s">
        <v>79</v>
      </c>
      <c r="F67" s="213"/>
    </row>
    <row r="68" spans="1:6">
      <c r="A68" s="240"/>
      <c r="B68" s="240"/>
      <c r="C68" s="240"/>
      <c r="D68" s="240"/>
      <c r="E68" s="240"/>
      <c r="F68" s="213"/>
    </row>
    <row r="69" spans="1:6">
      <c r="A69" s="240" t="s">
        <v>80</v>
      </c>
      <c r="B69" s="240"/>
      <c r="C69" s="240"/>
      <c r="D69" s="240"/>
      <c r="E69" s="240" t="s">
        <v>237</v>
      </c>
      <c r="F69" s="213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7"/>
  <sheetViews>
    <sheetView zoomScaleNormal="100" workbookViewId="0">
      <pane ySplit="7" topLeftCell="A8" activePane="bottomLeft" state="frozen"/>
      <selection pane="bottomLeft" activeCell="AE45" sqref="AE45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4.7109375" customWidth="1"/>
    <col min="36" max="38" width="9.85546875" hidden="1" customWidth="1"/>
    <col min="39" max="39" width="12" customWidth="1"/>
  </cols>
  <sheetData>
    <row r="1" spans="1:3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 t="s">
        <v>231</v>
      </c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ht="15.75">
      <c r="A3" s="105"/>
      <c r="B3" s="263" t="s">
        <v>232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</row>
    <row r="4" spans="1:39" ht="15.75" thickBot="1">
      <c r="A4" s="105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 t="s">
        <v>81</v>
      </c>
    </row>
    <row r="5" spans="1:39" ht="19.5" customHeight="1">
      <c r="A5" s="105"/>
      <c r="B5" s="105"/>
      <c r="C5" s="105"/>
      <c r="D5" s="105"/>
      <c r="E5" s="121"/>
      <c r="F5" s="122"/>
      <c r="G5" s="123"/>
      <c r="H5" s="123"/>
      <c r="I5" s="124"/>
      <c r="J5" s="105"/>
      <c r="K5" s="264" t="s">
        <v>82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125" t="s">
        <v>83</v>
      </c>
      <c r="Y5" s="125"/>
      <c r="Z5" s="125"/>
      <c r="AA5" s="266" t="s">
        <v>84</v>
      </c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8"/>
    </row>
    <row r="6" spans="1:39" ht="45.75" customHeight="1">
      <c r="A6" s="126"/>
      <c r="B6" s="127" t="s">
        <v>85</v>
      </c>
      <c r="C6" s="128" t="s">
        <v>86</v>
      </c>
      <c r="D6" s="126" t="s">
        <v>87</v>
      </c>
      <c r="E6" s="126" t="s">
        <v>88</v>
      </c>
      <c r="F6" s="128" t="s">
        <v>233</v>
      </c>
      <c r="G6" s="126" t="s">
        <v>22</v>
      </c>
      <c r="H6" s="126" t="s">
        <v>87</v>
      </c>
      <c r="I6" s="128" t="s">
        <v>89</v>
      </c>
      <c r="J6" s="128" t="s">
        <v>90</v>
      </c>
      <c r="K6" s="126">
        <v>1</v>
      </c>
      <c r="L6" s="126">
        <v>2</v>
      </c>
      <c r="M6" s="126">
        <v>3</v>
      </c>
      <c r="N6" s="126">
        <v>4</v>
      </c>
      <c r="O6" s="126">
        <v>5</v>
      </c>
      <c r="P6" s="126">
        <v>6</v>
      </c>
      <c r="Q6" s="126">
        <v>7</v>
      </c>
      <c r="R6" s="126">
        <v>8</v>
      </c>
      <c r="S6" s="126">
        <v>9</v>
      </c>
      <c r="T6" s="126">
        <v>10</v>
      </c>
      <c r="U6" s="126">
        <v>11</v>
      </c>
      <c r="V6" s="126">
        <v>12</v>
      </c>
      <c r="W6" s="126" t="s">
        <v>91</v>
      </c>
      <c r="X6" s="126">
        <v>1</v>
      </c>
      <c r="Y6" s="126">
        <v>2</v>
      </c>
      <c r="Z6" s="126">
        <v>3</v>
      </c>
      <c r="AA6" s="269" t="s">
        <v>247</v>
      </c>
      <c r="AB6" s="270"/>
      <c r="AC6" s="270"/>
      <c r="AD6" s="270"/>
      <c r="AE6" s="271"/>
      <c r="AF6" s="126">
        <v>7</v>
      </c>
      <c r="AG6" s="126">
        <v>8</v>
      </c>
      <c r="AH6" s="126">
        <v>9</v>
      </c>
      <c r="AI6" s="129" t="s">
        <v>92</v>
      </c>
      <c r="AJ6" s="126">
        <v>10</v>
      </c>
      <c r="AK6" s="126">
        <v>11</v>
      </c>
      <c r="AL6" s="126">
        <v>12</v>
      </c>
      <c r="AM6" s="130" t="s">
        <v>93</v>
      </c>
    </row>
    <row r="7" spans="1:39" ht="26.25" customHeight="1" thickBot="1">
      <c r="A7" s="131"/>
      <c r="B7" s="132"/>
      <c r="C7" s="133"/>
      <c r="D7" s="134"/>
      <c r="E7" s="134"/>
      <c r="F7" s="135"/>
      <c r="G7" s="134"/>
      <c r="H7" s="134"/>
      <c r="I7" s="133"/>
      <c r="J7" s="13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3" t="s">
        <v>94</v>
      </c>
      <c r="AB7" s="134"/>
      <c r="AC7" s="134"/>
      <c r="AD7" s="134"/>
      <c r="AE7" s="133" t="s">
        <v>95</v>
      </c>
      <c r="AF7" s="136"/>
      <c r="AG7" s="136"/>
      <c r="AH7" s="136"/>
      <c r="AI7" s="137" t="s">
        <v>96</v>
      </c>
      <c r="AJ7" s="136"/>
      <c r="AK7" s="136"/>
      <c r="AL7" s="136"/>
      <c r="AM7" s="138" t="s">
        <v>97</v>
      </c>
    </row>
    <row r="8" spans="1:39" ht="39.75" customHeight="1" thickBot="1">
      <c r="A8" s="139">
        <v>1</v>
      </c>
      <c r="B8" s="140" t="s">
        <v>98</v>
      </c>
      <c r="C8" s="141"/>
      <c r="D8" s="141"/>
      <c r="E8" s="142">
        <f>W8</f>
        <v>0</v>
      </c>
      <c r="F8" s="143">
        <f>SUM(F9:F13)</f>
        <v>75090915</v>
      </c>
      <c r="G8" s="144" t="e">
        <f>#REF!</f>
        <v>#REF!</v>
      </c>
      <c r="H8" s="144" t="e">
        <f>D8+E8-F8-G8</f>
        <v>#REF!</v>
      </c>
      <c r="I8" s="145"/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>
        <f>SUM(K8:V8)</f>
        <v>0</v>
      </c>
      <c r="X8" s="149"/>
      <c r="Y8" s="149"/>
      <c r="Z8" s="149"/>
      <c r="AA8" s="150">
        <f>SUM(AA9:AA12)</f>
        <v>17945505</v>
      </c>
      <c r="AB8" s="150">
        <f t="shared" ref="AB8:AL8" si="0">SUM(AB9:AB12)</f>
        <v>0</v>
      </c>
      <c r="AC8" s="150">
        <f t="shared" si="0"/>
        <v>0</v>
      </c>
      <c r="AD8" s="150">
        <f t="shared" si="0"/>
        <v>0</v>
      </c>
      <c r="AE8" s="150">
        <f>SUM(AE9:AE12)</f>
        <v>15704663</v>
      </c>
      <c r="AF8" s="150">
        <f t="shared" si="0"/>
        <v>2258500</v>
      </c>
      <c r="AG8" s="150">
        <f t="shared" si="0"/>
        <v>2263500</v>
      </c>
      <c r="AH8" s="150">
        <f t="shared" si="0"/>
        <v>2197905</v>
      </c>
      <c r="AI8" s="150">
        <f>SUM(AI9:AI12)</f>
        <v>2240842</v>
      </c>
      <c r="AJ8" s="151">
        <f t="shared" si="0"/>
        <v>0</v>
      </c>
      <c r="AK8" s="151">
        <f t="shared" si="0"/>
        <v>0</v>
      </c>
      <c r="AL8" s="151">
        <f t="shared" si="0"/>
        <v>0</v>
      </c>
      <c r="AM8" s="152">
        <f>AE8/AA8*100</f>
        <v>87.513073608126376</v>
      </c>
    </row>
    <row r="9" spans="1:39" ht="18" customHeight="1" thickBot="1">
      <c r="A9" s="153" t="s">
        <v>99</v>
      </c>
      <c r="B9" s="46" t="s">
        <v>100</v>
      </c>
      <c r="C9" s="154"/>
      <c r="D9" s="141"/>
      <c r="E9" s="155">
        <f t="shared" ref="E9:E45" si="1">W9</f>
        <v>0</v>
      </c>
      <c r="F9" s="156">
        <v>26000000</v>
      </c>
      <c r="G9" s="155" t="e">
        <f>#REF!</f>
        <v>#REF!</v>
      </c>
      <c r="H9" s="155" t="e">
        <f t="shared" ref="H9" si="2">D9+E9-F9-G9</f>
        <v>#REF!</v>
      </c>
      <c r="I9" s="157">
        <v>1</v>
      </c>
      <c r="J9" s="158">
        <v>20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9">
        <f t="shared" ref="W9" si="3">SUM(K9:V9)</f>
        <v>0</v>
      </c>
      <c r="X9" s="160">
        <v>671000</v>
      </c>
      <c r="Y9" s="160">
        <v>865000</v>
      </c>
      <c r="Z9" s="160">
        <v>390000</v>
      </c>
      <c r="AA9" s="161">
        <v>7467359</v>
      </c>
      <c r="AB9" s="161"/>
      <c r="AC9" s="161"/>
      <c r="AD9" s="161"/>
      <c r="AE9" s="161">
        <v>6599581</v>
      </c>
      <c r="AF9" s="162">
        <v>1500000</v>
      </c>
      <c r="AG9" s="162">
        <v>1500000</v>
      </c>
      <c r="AH9" s="162">
        <v>1500000</v>
      </c>
      <c r="AI9" s="163">
        <f>AA9-AE9</f>
        <v>867778</v>
      </c>
      <c r="AJ9" s="164"/>
      <c r="AK9" s="164"/>
      <c r="AL9" s="164"/>
      <c r="AM9" s="165">
        <f>AE9/AA9*100</f>
        <v>88.379050746053593</v>
      </c>
    </row>
    <row r="10" spans="1:39" ht="18" customHeight="1" thickBot="1">
      <c r="A10" s="45" t="s">
        <v>101</v>
      </c>
      <c r="B10" s="46" t="s">
        <v>102</v>
      </c>
      <c r="C10" s="154"/>
      <c r="D10" s="141"/>
      <c r="E10" s="155">
        <f t="shared" si="1"/>
        <v>0</v>
      </c>
      <c r="F10" s="156">
        <v>32668235</v>
      </c>
      <c r="G10" s="155" t="e">
        <f>#REF!</f>
        <v>#REF!</v>
      </c>
      <c r="H10" s="155" t="e">
        <f t="shared" ref="H10:H45" si="4">D10+E10-F10-G10</f>
        <v>#REF!</v>
      </c>
      <c r="I10" s="157">
        <v>1</v>
      </c>
      <c r="J10" s="158">
        <v>20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9">
        <f t="shared" ref="W10:W45" si="5">SUM(K10:V10)</f>
        <v>0</v>
      </c>
      <c r="X10" s="160">
        <v>185000</v>
      </c>
      <c r="Y10" s="160">
        <v>300000</v>
      </c>
      <c r="Z10" s="160">
        <v>250000</v>
      </c>
      <c r="AA10" s="161">
        <v>8910000</v>
      </c>
      <c r="AB10" s="161"/>
      <c r="AC10" s="161"/>
      <c r="AD10" s="161"/>
      <c r="AE10" s="161">
        <v>8788896</v>
      </c>
      <c r="AF10" s="162">
        <v>290000</v>
      </c>
      <c r="AG10" s="162">
        <v>295000</v>
      </c>
      <c r="AH10" s="162">
        <v>279405</v>
      </c>
      <c r="AI10" s="163">
        <f t="shared" ref="AI10:AI30" si="6">AA10-AE10</f>
        <v>121104</v>
      </c>
      <c r="AJ10" s="164"/>
      <c r="AK10" s="164"/>
      <c r="AL10" s="164"/>
      <c r="AM10" s="165">
        <f t="shared" ref="AM10:AM44" si="7">AE10/AA10*100</f>
        <v>98.640808080808085</v>
      </c>
    </row>
    <row r="11" spans="1:39" ht="18.75" customHeight="1" thickBot="1">
      <c r="A11" s="45" t="s">
        <v>103</v>
      </c>
      <c r="B11" s="46" t="s">
        <v>104</v>
      </c>
      <c r="C11" s="154"/>
      <c r="D11" s="141"/>
      <c r="E11" s="155">
        <f t="shared" si="1"/>
        <v>0</v>
      </c>
      <c r="F11" s="156">
        <v>13786389</v>
      </c>
      <c r="G11" s="155" t="e">
        <f>#REF!</f>
        <v>#REF!</v>
      </c>
      <c r="H11" s="155" t="e">
        <f t="shared" si="4"/>
        <v>#REF!</v>
      </c>
      <c r="I11" s="157">
        <v>1</v>
      </c>
      <c r="J11" s="158">
        <v>20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9">
        <f t="shared" si="5"/>
        <v>0</v>
      </c>
      <c r="X11" s="160">
        <v>1210000</v>
      </c>
      <c r="Y11" s="160">
        <v>1000000</v>
      </c>
      <c r="Z11" s="160"/>
      <c r="AA11" s="161"/>
      <c r="AB11" s="161"/>
      <c r="AC11" s="161"/>
      <c r="AD11" s="161"/>
      <c r="AE11" s="161"/>
      <c r="AF11" s="162"/>
      <c r="AG11" s="162"/>
      <c r="AH11" s="162"/>
      <c r="AI11" s="163">
        <f t="shared" si="6"/>
        <v>0</v>
      </c>
      <c r="AJ11" s="164"/>
      <c r="AK11" s="164"/>
      <c r="AL11" s="164"/>
      <c r="AM11" s="165" t="e">
        <f t="shared" si="7"/>
        <v>#DIV/0!</v>
      </c>
    </row>
    <row r="12" spans="1:39" ht="19.5" customHeight="1" thickBot="1">
      <c r="A12" s="45" t="s">
        <v>105</v>
      </c>
      <c r="B12" s="46" t="s">
        <v>106</v>
      </c>
      <c r="C12" s="154"/>
      <c r="D12" s="141"/>
      <c r="E12" s="155">
        <f t="shared" si="1"/>
        <v>0</v>
      </c>
      <c r="F12" s="156">
        <v>2636291</v>
      </c>
      <c r="G12" s="155" t="e">
        <f>#REF!</f>
        <v>#REF!</v>
      </c>
      <c r="H12" s="155" t="e">
        <f t="shared" si="4"/>
        <v>#REF!</v>
      </c>
      <c r="I12" s="157">
        <v>1</v>
      </c>
      <c r="J12" s="158">
        <v>20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9">
        <f t="shared" si="5"/>
        <v>0</v>
      </c>
      <c r="X12" s="160"/>
      <c r="Y12" s="160"/>
      <c r="Z12" s="160"/>
      <c r="AA12" s="161">
        <v>1568146</v>
      </c>
      <c r="AB12" s="161"/>
      <c r="AC12" s="161"/>
      <c r="AD12" s="161"/>
      <c r="AE12" s="161">
        <v>316186</v>
      </c>
      <c r="AF12" s="162">
        <v>468500</v>
      </c>
      <c r="AG12" s="162">
        <v>468500</v>
      </c>
      <c r="AH12" s="162">
        <v>418500</v>
      </c>
      <c r="AI12" s="163">
        <f t="shared" si="6"/>
        <v>1251960</v>
      </c>
      <c r="AJ12" s="164"/>
      <c r="AK12" s="164"/>
      <c r="AL12" s="164"/>
      <c r="AM12" s="165">
        <v>0</v>
      </c>
    </row>
    <row r="13" spans="1:39" ht="30.75" hidden="1" thickBot="1">
      <c r="A13" s="45" t="s">
        <v>227</v>
      </c>
      <c r="B13" s="46" t="s">
        <v>228</v>
      </c>
      <c r="C13" s="154"/>
      <c r="D13" s="141"/>
      <c r="E13" s="155"/>
      <c r="F13" s="156"/>
      <c r="G13" s="155"/>
      <c r="H13" s="155"/>
      <c r="I13" s="157"/>
      <c r="J13" s="158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9"/>
      <c r="X13" s="160"/>
      <c r="Y13" s="160"/>
      <c r="Z13" s="160"/>
      <c r="AA13" s="161"/>
      <c r="AB13" s="161"/>
      <c r="AC13" s="161"/>
      <c r="AD13" s="161"/>
      <c r="AE13" s="161">
        <v>0</v>
      </c>
      <c r="AF13" s="162"/>
      <c r="AG13" s="162"/>
      <c r="AH13" s="162"/>
      <c r="AI13" s="163">
        <f t="shared" si="6"/>
        <v>0</v>
      </c>
      <c r="AJ13" s="164"/>
      <c r="AK13" s="164"/>
      <c r="AL13" s="164"/>
      <c r="AM13" s="165">
        <v>0</v>
      </c>
    </row>
    <row r="14" spans="1:39" ht="25.5" customHeight="1" thickBot="1">
      <c r="A14" s="166">
        <v>2</v>
      </c>
      <c r="B14" s="36" t="s">
        <v>107</v>
      </c>
      <c r="C14" s="154"/>
      <c r="D14" s="154"/>
      <c r="E14" s="155">
        <f t="shared" si="1"/>
        <v>0</v>
      </c>
      <c r="F14" s="156">
        <v>4125713</v>
      </c>
      <c r="G14" s="155" t="e">
        <f>#REF!</f>
        <v>#REF!</v>
      </c>
      <c r="H14" s="155" t="e">
        <f t="shared" si="4"/>
        <v>#REF!</v>
      </c>
      <c r="I14" s="157">
        <v>1</v>
      </c>
      <c r="J14" s="158">
        <v>20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9">
        <f t="shared" si="5"/>
        <v>0</v>
      </c>
      <c r="X14" s="160">
        <v>122000</v>
      </c>
      <c r="Y14" s="160">
        <v>70000</v>
      </c>
      <c r="Z14" s="160">
        <v>88000</v>
      </c>
      <c r="AA14" s="161">
        <v>1030572</v>
      </c>
      <c r="AB14" s="161"/>
      <c r="AC14" s="161"/>
      <c r="AD14" s="161"/>
      <c r="AE14" s="161">
        <v>273910</v>
      </c>
      <c r="AF14" s="163">
        <v>130000</v>
      </c>
      <c r="AG14" s="163">
        <v>120000</v>
      </c>
      <c r="AH14" s="163">
        <v>155000</v>
      </c>
      <c r="AI14" s="163">
        <f t="shared" si="6"/>
        <v>756662</v>
      </c>
      <c r="AJ14" s="164"/>
      <c r="AK14" s="164"/>
      <c r="AL14" s="164"/>
      <c r="AM14" s="165">
        <f t="shared" si="7"/>
        <v>26.57844381566742</v>
      </c>
    </row>
    <row r="15" spans="1:39" ht="25.5" customHeight="1" thickBot="1">
      <c r="A15" s="166">
        <v>3</v>
      </c>
      <c r="B15" s="36" t="s">
        <v>108</v>
      </c>
      <c r="C15" s="154"/>
      <c r="D15" s="154"/>
      <c r="E15" s="155">
        <f t="shared" si="1"/>
        <v>0</v>
      </c>
      <c r="F15" s="156">
        <v>28878520</v>
      </c>
      <c r="G15" s="155" t="e">
        <f>#REF!</f>
        <v>#REF!</v>
      </c>
      <c r="H15" s="155" t="e">
        <f t="shared" si="4"/>
        <v>#REF!</v>
      </c>
      <c r="I15" s="157">
        <v>1</v>
      </c>
      <c r="J15" s="158">
        <v>20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9">
        <f t="shared" si="5"/>
        <v>0</v>
      </c>
      <c r="X15" s="160">
        <v>1024000</v>
      </c>
      <c r="Y15" s="160">
        <v>1950000</v>
      </c>
      <c r="Z15" s="160">
        <v>700000</v>
      </c>
      <c r="AA15" s="161">
        <v>9522131</v>
      </c>
      <c r="AB15" s="161"/>
      <c r="AC15" s="161"/>
      <c r="AD15" s="161"/>
      <c r="AE15" s="161">
        <v>10996612</v>
      </c>
      <c r="AF15" s="162">
        <v>1068508</v>
      </c>
      <c r="AG15" s="162">
        <v>1066508</v>
      </c>
      <c r="AH15" s="162">
        <v>1129103</v>
      </c>
      <c r="AI15" s="163">
        <f t="shared" si="6"/>
        <v>-1474481</v>
      </c>
      <c r="AJ15" s="164"/>
      <c r="AK15" s="164"/>
      <c r="AL15" s="164"/>
      <c r="AM15" s="165">
        <f t="shared" si="7"/>
        <v>115.48477961498324</v>
      </c>
    </row>
    <row r="16" spans="1:39" ht="24" customHeight="1" thickBot="1">
      <c r="A16" s="166">
        <v>4</v>
      </c>
      <c r="B16" s="36" t="s">
        <v>109</v>
      </c>
      <c r="C16" s="154"/>
      <c r="D16" s="154"/>
      <c r="E16" s="155">
        <f t="shared" si="1"/>
        <v>0</v>
      </c>
      <c r="F16" s="156">
        <v>10234475</v>
      </c>
      <c r="G16" s="155" t="e">
        <f>#REF!</f>
        <v>#REF!</v>
      </c>
      <c r="H16" s="155" t="e">
        <f t="shared" si="4"/>
        <v>#REF!</v>
      </c>
      <c r="I16" s="157">
        <v>1</v>
      </c>
      <c r="J16" s="158">
        <v>20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9">
        <f t="shared" si="5"/>
        <v>0</v>
      </c>
      <c r="X16" s="160">
        <v>58000</v>
      </c>
      <c r="Y16" s="160">
        <v>360000</v>
      </c>
      <c r="Z16" s="160">
        <v>230000</v>
      </c>
      <c r="AA16" s="161">
        <v>2965250</v>
      </c>
      <c r="AB16" s="161"/>
      <c r="AC16" s="161"/>
      <c r="AD16" s="161"/>
      <c r="AE16" s="161">
        <v>2129206</v>
      </c>
      <c r="AF16" s="162">
        <v>550000</v>
      </c>
      <c r="AG16" s="162">
        <v>480000</v>
      </c>
      <c r="AH16" s="162">
        <v>420000</v>
      </c>
      <c r="AI16" s="163">
        <f t="shared" si="6"/>
        <v>836044</v>
      </c>
      <c r="AJ16" s="164"/>
      <c r="AK16" s="164"/>
      <c r="AL16" s="164"/>
      <c r="AM16" s="165">
        <f t="shared" si="7"/>
        <v>71.805277801197192</v>
      </c>
    </row>
    <row r="17" spans="1:39" ht="32.25" thickBot="1">
      <c r="A17" s="166">
        <v>5</v>
      </c>
      <c r="B17" s="36" t="s">
        <v>110</v>
      </c>
      <c r="C17" s="154"/>
      <c r="D17" s="154"/>
      <c r="E17" s="155">
        <f t="shared" si="1"/>
        <v>0</v>
      </c>
      <c r="F17" s="167">
        <v>12814260</v>
      </c>
      <c r="G17" s="155"/>
      <c r="H17" s="155"/>
      <c r="I17" s="157"/>
      <c r="J17" s="158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9"/>
      <c r="X17" s="160"/>
      <c r="Y17" s="160"/>
      <c r="Z17" s="160"/>
      <c r="AA17" s="161">
        <v>4708031</v>
      </c>
      <c r="AB17" s="161"/>
      <c r="AC17" s="161"/>
      <c r="AD17" s="161"/>
      <c r="AE17" s="161">
        <v>3796754</v>
      </c>
      <c r="AF17" s="162">
        <v>670000</v>
      </c>
      <c r="AG17" s="162">
        <v>670000</v>
      </c>
      <c r="AH17" s="162">
        <v>665000</v>
      </c>
      <c r="AI17" s="163">
        <f t="shared" si="6"/>
        <v>911277</v>
      </c>
      <c r="AJ17" s="164"/>
      <c r="AK17" s="164"/>
      <c r="AL17" s="164"/>
      <c r="AM17" s="165">
        <f t="shared" si="7"/>
        <v>80.644201365708938</v>
      </c>
    </row>
    <row r="18" spans="1:39" ht="22.5" customHeight="1" thickBot="1">
      <c r="A18" s="166">
        <v>6</v>
      </c>
      <c r="B18" s="36" t="s">
        <v>111</v>
      </c>
      <c r="C18" s="154"/>
      <c r="D18" s="154"/>
      <c r="E18" s="155">
        <f t="shared" si="1"/>
        <v>0</v>
      </c>
      <c r="F18" s="167">
        <v>17214235</v>
      </c>
      <c r="G18" s="155" t="e">
        <f>#REF!</f>
        <v>#REF!</v>
      </c>
      <c r="H18" s="155" t="e">
        <f t="shared" si="4"/>
        <v>#REF!</v>
      </c>
      <c r="I18" s="157">
        <v>1</v>
      </c>
      <c r="J18" s="158">
        <v>20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9">
        <f t="shared" si="5"/>
        <v>0</v>
      </c>
      <c r="X18" s="160">
        <v>819000</v>
      </c>
      <c r="Y18" s="160">
        <v>680662</v>
      </c>
      <c r="Z18" s="160">
        <v>420000</v>
      </c>
      <c r="AA18" s="161">
        <v>4890000</v>
      </c>
      <c r="AB18" s="161"/>
      <c r="AC18" s="161"/>
      <c r="AD18" s="161"/>
      <c r="AE18" s="161">
        <v>6526642</v>
      </c>
      <c r="AF18" s="162">
        <v>620000</v>
      </c>
      <c r="AG18" s="162">
        <v>680000</v>
      </c>
      <c r="AH18" s="162">
        <v>680000</v>
      </c>
      <c r="AI18" s="163">
        <f t="shared" si="6"/>
        <v>-1636642</v>
      </c>
      <c r="AJ18" s="164"/>
      <c r="AK18" s="164"/>
      <c r="AL18" s="164"/>
      <c r="AM18" s="165">
        <f t="shared" si="7"/>
        <v>133.46916155419223</v>
      </c>
    </row>
    <row r="19" spans="1:39" ht="22.5" customHeight="1" thickBot="1">
      <c r="A19" s="166">
        <v>7</v>
      </c>
      <c r="B19" s="36" t="s">
        <v>112</v>
      </c>
      <c r="C19" s="154"/>
      <c r="D19" s="154"/>
      <c r="E19" s="155">
        <f t="shared" si="1"/>
        <v>0</v>
      </c>
      <c r="F19" s="167"/>
      <c r="G19" s="155" t="e">
        <f>#REF!</f>
        <v>#REF!</v>
      </c>
      <c r="H19" s="155" t="e">
        <f t="shared" si="4"/>
        <v>#REF!</v>
      </c>
      <c r="I19" s="157">
        <v>1</v>
      </c>
      <c r="J19" s="158">
        <v>20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9">
        <f t="shared" si="5"/>
        <v>0</v>
      </c>
      <c r="X19" s="160"/>
      <c r="Y19" s="160"/>
      <c r="Z19" s="160"/>
      <c r="AA19" s="161"/>
      <c r="AB19" s="161"/>
      <c r="AC19" s="161"/>
      <c r="AD19" s="161"/>
      <c r="AE19" s="161"/>
      <c r="AF19" s="162"/>
      <c r="AG19" s="162"/>
      <c r="AH19" s="162"/>
      <c r="AI19" s="163"/>
      <c r="AJ19" s="164"/>
      <c r="AK19" s="164"/>
      <c r="AL19" s="164"/>
      <c r="AM19" s="165"/>
    </row>
    <row r="20" spans="1:39" ht="21" customHeight="1" thickBot="1">
      <c r="A20" s="45" t="s">
        <v>113</v>
      </c>
      <c r="B20" s="46" t="s">
        <v>114</v>
      </c>
      <c r="C20" s="154"/>
      <c r="D20" s="154"/>
      <c r="E20" s="155">
        <f t="shared" si="1"/>
        <v>0</v>
      </c>
      <c r="F20" s="167">
        <v>10216290</v>
      </c>
      <c r="G20" s="155" t="e">
        <f>#REF!</f>
        <v>#REF!</v>
      </c>
      <c r="H20" s="155" t="e">
        <f t="shared" si="4"/>
        <v>#REF!</v>
      </c>
      <c r="I20" s="157">
        <v>1</v>
      </c>
      <c r="J20" s="158">
        <v>20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9">
        <f t="shared" si="5"/>
        <v>0</v>
      </c>
      <c r="X20" s="160">
        <v>182000</v>
      </c>
      <c r="Y20" s="160">
        <v>540000</v>
      </c>
      <c r="Z20" s="160">
        <v>428000</v>
      </c>
      <c r="AA20" s="161">
        <v>2532110</v>
      </c>
      <c r="AB20" s="161"/>
      <c r="AC20" s="161"/>
      <c r="AD20" s="161"/>
      <c r="AE20" s="161">
        <v>2462021</v>
      </c>
      <c r="AF20" s="162">
        <v>542000</v>
      </c>
      <c r="AG20" s="162">
        <v>559000</v>
      </c>
      <c r="AH20" s="162">
        <v>547000</v>
      </c>
      <c r="AI20" s="163">
        <f t="shared" si="6"/>
        <v>70089</v>
      </c>
      <c r="AJ20" s="164"/>
      <c r="AK20" s="164"/>
      <c r="AL20" s="164"/>
      <c r="AM20" s="165">
        <f t="shared" si="7"/>
        <v>97.231992291014208</v>
      </c>
    </row>
    <row r="21" spans="1:39" ht="21" customHeight="1" thickBot="1">
      <c r="A21" s="45" t="s">
        <v>115</v>
      </c>
      <c r="B21" s="46" t="s">
        <v>116</v>
      </c>
      <c r="C21" s="154"/>
      <c r="D21" s="154"/>
      <c r="E21" s="155">
        <f t="shared" si="1"/>
        <v>0</v>
      </c>
      <c r="F21" s="167">
        <v>18250042</v>
      </c>
      <c r="G21" s="155" t="e">
        <f>#REF!</f>
        <v>#REF!</v>
      </c>
      <c r="H21" s="155" t="e">
        <f t="shared" si="4"/>
        <v>#REF!</v>
      </c>
      <c r="I21" s="157">
        <v>1</v>
      </c>
      <c r="J21" s="158">
        <v>20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9">
        <f t="shared" si="5"/>
        <v>0</v>
      </c>
      <c r="X21" s="160">
        <v>771000</v>
      </c>
      <c r="Y21" s="160">
        <v>800000</v>
      </c>
      <c r="Z21" s="160">
        <v>600000</v>
      </c>
      <c r="AA21" s="161">
        <v>4675775</v>
      </c>
      <c r="AB21" s="161"/>
      <c r="AC21" s="161"/>
      <c r="AD21" s="161"/>
      <c r="AE21" s="161">
        <v>2410266</v>
      </c>
      <c r="AF21" s="162">
        <v>400000</v>
      </c>
      <c r="AG21" s="162">
        <v>400000</v>
      </c>
      <c r="AH21" s="162">
        <v>400000</v>
      </c>
      <c r="AI21" s="163">
        <f t="shared" si="6"/>
        <v>2265509</v>
      </c>
      <c r="AJ21" s="164"/>
      <c r="AK21" s="164"/>
      <c r="AL21" s="164"/>
      <c r="AM21" s="165">
        <f t="shared" si="7"/>
        <v>51.547946597088178</v>
      </c>
    </row>
    <row r="22" spans="1:39" ht="22.5" customHeight="1" thickBot="1">
      <c r="A22" s="166">
        <v>8</v>
      </c>
      <c r="B22" s="36" t="s">
        <v>117</v>
      </c>
      <c r="C22" s="154"/>
      <c r="D22" s="154"/>
      <c r="E22" s="155">
        <f t="shared" si="1"/>
        <v>0</v>
      </c>
      <c r="F22" s="167">
        <v>1719970</v>
      </c>
      <c r="G22" s="155" t="e">
        <f>#REF!</f>
        <v>#REF!</v>
      </c>
      <c r="H22" s="155" t="e">
        <f t="shared" si="4"/>
        <v>#REF!</v>
      </c>
      <c r="I22" s="157">
        <v>1</v>
      </c>
      <c r="J22" s="158">
        <v>20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9">
        <f t="shared" si="5"/>
        <v>0</v>
      </c>
      <c r="X22" s="160"/>
      <c r="Y22" s="160">
        <v>13600</v>
      </c>
      <c r="Z22" s="160">
        <v>13600</v>
      </c>
      <c r="AA22" s="161">
        <v>404900</v>
      </c>
      <c r="AB22" s="161"/>
      <c r="AC22" s="161"/>
      <c r="AD22" s="161"/>
      <c r="AE22" s="161"/>
      <c r="AF22" s="162">
        <v>13600</v>
      </c>
      <c r="AG22" s="162">
        <v>13600</v>
      </c>
      <c r="AH22" s="162">
        <v>13600</v>
      </c>
      <c r="AI22" s="163">
        <f t="shared" si="6"/>
        <v>404900</v>
      </c>
      <c r="AJ22" s="164"/>
      <c r="AK22" s="164"/>
      <c r="AL22" s="164"/>
      <c r="AM22" s="165">
        <f t="shared" si="7"/>
        <v>0</v>
      </c>
    </row>
    <row r="23" spans="1:39" ht="32.25" thickBot="1">
      <c r="A23" s="166">
        <v>9</v>
      </c>
      <c r="B23" s="36" t="s">
        <v>118</v>
      </c>
      <c r="C23" s="154"/>
      <c r="D23" s="154"/>
      <c r="E23" s="155">
        <f t="shared" si="1"/>
        <v>0</v>
      </c>
      <c r="F23" s="167">
        <v>49851</v>
      </c>
      <c r="G23" s="155" t="e">
        <f>#REF!</f>
        <v>#REF!</v>
      </c>
      <c r="H23" s="155" t="e">
        <f t="shared" si="4"/>
        <v>#REF!</v>
      </c>
      <c r="I23" s="157">
        <v>1</v>
      </c>
      <c r="J23" s="158">
        <v>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9">
        <f t="shared" si="5"/>
        <v>0</v>
      </c>
      <c r="X23" s="160">
        <v>3088</v>
      </c>
      <c r="Y23" s="160">
        <v>6176</v>
      </c>
      <c r="Z23" s="160">
        <v>2647</v>
      </c>
      <c r="AA23" s="161">
        <v>13235</v>
      </c>
      <c r="AB23" s="161"/>
      <c r="AC23" s="161"/>
      <c r="AD23" s="161"/>
      <c r="AE23" s="161">
        <v>15882</v>
      </c>
      <c r="AF23" s="162">
        <v>2647</v>
      </c>
      <c r="AG23" s="162">
        <v>2647</v>
      </c>
      <c r="AH23" s="162">
        <v>2647</v>
      </c>
      <c r="AI23" s="163">
        <f t="shared" si="6"/>
        <v>-2647</v>
      </c>
      <c r="AJ23" s="164"/>
      <c r="AK23" s="164"/>
      <c r="AL23" s="164"/>
      <c r="AM23" s="165">
        <f t="shared" si="7"/>
        <v>120</v>
      </c>
    </row>
    <row r="24" spans="1:39" ht="32.25" hidden="1" thickBot="1">
      <c r="A24" s="37" t="s">
        <v>218</v>
      </c>
      <c r="B24" s="36" t="s">
        <v>118</v>
      </c>
      <c r="C24" s="154"/>
      <c r="D24" s="154"/>
      <c r="E24" s="155"/>
      <c r="F24" s="167"/>
      <c r="G24" s="155"/>
      <c r="H24" s="155"/>
      <c r="I24" s="157"/>
      <c r="J24" s="158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9"/>
      <c r="X24" s="160"/>
      <c r="Y24" s="160"/>
      <c r="Z24" s="160"/>
      <c r="AA24" s="161"/>
      <c r="AB24" s="161"/>
      <c r="AC24" s="161"/>
      <c r="AD24" s="161"/>
      <c r="AE24" s="161"/>
      <c r="AF24" s="162"/>
      <c r="AG24" s="162"/>
      <c r="AH24" s="162"/>
      <c r="AI24" s="163"/>
      <c r="AJ24" s="164"/>
      <c r="AK24" s="164"/>
      <c r="AL24" s="164"/>
      <c r="AM24" s="165"/>
    </row>
    <row r="25" spans="1:39" ht="41.25" customHeight="1" thickBot="1">
      <c r="A25" s="166">
        <v>10</v>
      </c>
      <c r="B25" s="36" t="s">
        <v>119</v>
      </c>
      <c r="C25" s="154"/>
      <c r="D25" s="154"/>
      <c r="E25" s="155">
        <f t="shared" si="1"/>
        <v>0</v>
      </c>
      <c r="F25" s="167">
        <v>1456500</v>
      </c>
      <c r="G25" s="155" t="e">
        <f>#REF!</f>
        <v>#REF!</v>
      </c>
      <c r="H25" s="155" t="e">
        <f t="shared" si="4"/>
        <v>#REF!</v>
      </c>
      <c r="I25" s="157">
        <v>1</v>
      </c>
      <c r="J25" s="158">
        <v>20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9">
        <f t="shared" si="5"/>
        <v>0</v>
      </c>
      <c r="X25" s="160"/>
      <c r="Y25" s="160">
        <v>20000</v>
      </c>
      <c r="Z25" s="160">
        <v>20000</v>
      </c>
      <c r="AA25" s="161">
        <v>460000</v>
      </c>
      <c r="AB25" s="161"/>
      <c r="AC25" s="161"/>
      <c r="AD25" s="161"/>
      <c r="AE25" s="161">
        <v>45264</v>
      </c>
      <c r="AF25" s="162">
        <v>45000</v>
      </c>
      <c r="AG25" s="162">
        <v>45000</v>
      </c>
      <c r="AH25" s="162">
        <v>40000</v>
      </c>
      <c r="AI25" s="163">
        <f t="shared" si="6"/>
        <v>414736</v>
      </c>
      <c r="AJ25" s="164"/>
      <c r="AK25" s="164"/>
      <c r="AL25" s="164"/>
      <c r="AM25" s="165">
        <f t="shared" si="7"/>
        <v>9.84</v>
      </c>
    </row>
    <row r="26" spans="1:39" ht="21" customHeight="1" thickBot="1">
      <c r="A26" s="168">
        <v>11</v>
      </c>
      <c r="B26" s="36" t="s">
        <v>120</v>
      </c>
      <c r="C26" s="154"/>
      <c r="D26" s="154"/>
      <c r="E26" s="155">
        <f t="shared" si="1"/>
        <v>0</v>
      </c>
      <c r="F26" s="167">
        <f>SUM(F27:F34)</f>
        <v>12189229</v>
      </c>
      <c r="G26" s="169" t="e">
        <f t="shared" ref="G26:AL26" si="8">SUM(G27:G30)</f>
        <v>#REF!</v>
      </c>
      <c r="H26" s="169" t="e">
        <f t="shared" si="8"/>
        <v>#REF!</v>
      </c>
      <c r="I26" s="169">
        <f t="shared" si="8"/>
        <v>4</v>
      </c>
      <c r="J26" s="169">
        <f t="shared" si="8"/>
        <v>80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169">
        <f t="shared" si="8"/>
        <v>0</v>
      </c>
      <c r="O26" s="169">
        <f t="shared" si="8"/>
        <v>0</v>
      </c>
      <c r="P26" s="169">
        <f t="shared" si="8"/>
        <v>0</v>
      </c>
      <c r="Q26" s="169">
        <f t="shared" si="8"/>
        <v>0</v>
      </c>
      <c r="R26" s="169">
        <f t="shared" si="8"/>
        <v>0</v>
      </c>
      <c r="S26" s="169">
        <f t="shared" si="8"/>
        <v>0</v>
      </c>
      <c r="T26" s="169">
        <f t="shared" si="8"/>
        <v>0</v>
      </c>
      <c r="U26" s="169">
        <f t="shared" si="8"/>
        <v>0</v>
      </c>
      <c r="V26" s="169">
        <f t="shared" si="8"/>
        <v>0</v>
      </c>
      <c r="W26" s="169">
        <f t="shared" si="8"/>
        <v>0</v>
      </c>
      <c r="X26" s="169">
        <f t="shared" si="8"/>
        <v>274212</v>
      </c>
      <c r="Y26" s="169">
        <f t="shared" si="8"/>
        <v>524042</v>
      </c>
      <c r="Z26" s="169">
        <f t="shared" si="8"/>
        <v>285853</v>
      </c>
      <c r="AA26" s="156">
        <f>SUM(AA27:AD34)</f>
        <v>3519639</v>
      </c>
      <c r="AB26" s="156">
        <f t="shared" si="8"/>
        <v>0</v>
      </c>
      <c r="AC26" s="156">
        <f t="shared" si="8"/>
        <v>0</v>
      </c>
      <c r="AD26" s="156">
        <f t="shared" si="8"/>
        <v>0</v>
      </c>
      <c r="AE26" s="156">
        <f>SUM(AE27:AE30)</f>
        <v>1925017</v>
      </c>
      <c r="AF26" s="169">
        <f t="shared" si="8"/>
        <v>478035</v>
      </c>
      <c r="AG26" s="169">
        <f t="shared" si="8"/>
        <v>478035</v>
      </c>
      <c r="AH26" s="169">
        <f t="shared" si="8"/>
        <v>478035</v>
      </c>
      <c r="AI26" s="170">
        <f>SUM(AI27:AI30)</f>
        <v>1594622</v>
      </c>
      <c r="AJ26" s="171">
        <f t="shared" si="8"/>
        <v>0</v>
      </c>
      <c r="AK26" s="171">
        <f t="shared" si="8"/>
        <v>0</v>
      </c>
      <c r="AL26" s="171">
        <f t="shared" si="8"/>
        <v>0</v>
      </c>
      <c r="AM26" s="172">
        <f>AE26/AA26*100</f>
        <v>54.693592155331835</v>
      </c>
    </row>
    <row r="27" spans="1:39" ht="20.25" customHeight="1" thickBot="1">
      <c r="A27" s="38" t="s">
        <v>121</v>
      </c>
      <c r="B27" s="43" t="s">
        <v>122</v>
      </c>
      <c r="C27" s="154"/>
      <c r="D27" s="154"/>
      <c r="E27" s="155">
        <f t="shared" si="1"/>
        <v>0</v>
      </c>
      <c r="F27" s="167">
        <v>1867094</v>
      </c>
      <c r="G27" s="173" t="e">
        <f>#REF!</f>
        <v>#REF!</v>
      </c>
      <c r="H27" s="173" t="e">
        <f t="shared" si="4"/>
        <v>#REF!</v>
      </c>
      <c r="I27" s="174">
        <v>1</v>
      </c>
      <c r="J27" s="175">
        <v>20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>
        <f t="shared" si="5"/>
        <v>0</v>
      </c>
      <c r="X27" s="178">
        <v>155980</v>
      </c>
      <c r="Y27" s="178">
        <v>162699</v>
      </c>
      <c r="Z27" s="178">
        <v>100510</v>
      </c>
      <c r="AA27" s="161">
        <v>489719</v>
      </c>
      <c r="AB27" s="161"/>
      <c r="AC27" s="161"/>
      <c r="AD27" s="161"/>
      <c r="AE27" s="161">
        <v>71285</v>
      </c>
      <c r="AF27" s="178">
        <v>162692</v>
      </c>
      <c r="AG27" s="178">
        <v>162692</v>
      </c>
      <c r="AH27" s="178">
        <v>162692</v>
      </c>
      <c r="AI27" s="163">
        <f t="shared" si="6"/>
        <v>418434</v>
      </c>
      <c r="AJ27" s="164"/>
      <c r="AK27" s="164"/>
      <c r="AL27" s="164"/>
      <c r="AM27" s="165">
        <f t="shared" si="7"/>
        <v>14.556306780010578</v>
      </c>
    </row>
    <row r="28" spans="1:39" ht="46.5" customHeight="1" thickBot="1">
      <c r="A28" s="38" t="s">
        <v>123</v>
      </c>
      <c r="B28" s="243" t="s">
        <v>234</v>
      </c>
      <c r="C28" s="154"/>
      <c r="D28" s="154"/>
      <c r="E28" s="155">
        <f t="shared" si="1"/>
        <v>0</v>
      </c>
      <c r="F28" s="167">
        <v>3765238</v>
      </c>
      <c r="G28" s="173" t="e">
        <f>#REF!</f>
        <v>#REF!</v>
      </c>
      <c r="H28" s="173" t="e">
        <f t="shared" si="4"/>
        <v>#REF!</v>
      </c>
      <c r="I28" s="174">
        <v>1</v>
      </c>
      <c r="J28" s="175">
        <v>20</v>
      </c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>
        <f t="shared" si="5"/>
        <v>0</v>
      </c>
      <c r="X28" s="178">
        <v>47232</v>
      </c>
      <c r="Y28" s="178">
        <v>160433</v>
      </c>
      <c r="Z28" s="178">
        <v>60433</v>
      </c>
      <c r="AA28" s="161">
        <v>943000</v>
      </c>
      <c r="AB28" s="161"/>
      <c r="AC28" s="161"/>
      <c r="AD28" s="161"/>
      <c r="AE28" s="161">
        <v>656103</v>
      </c>
      <c r="AF28" s="178">
        <v>110433</v>
      </c>
      <c r="AG28" s="178">
        <v>110433</v>
      </c>
      <c r="AH28" s="178">
        <v>110433</v>
      </c>
      <c r="AI28" s="163">
        <f t="shared" si="6"/>
        <v>286897</v>
      </c>
      <c r="AJ28" s="164"/>
      <c r="AK28" s="164"/>
      <c r="AL28" s="164"/>
      <c r="AM28" s="165">
        <f t="shared" si="7"/>
        <v>69.57613997879109</v>
      </c>
    </row>
    <row r="29" spans="1:39" ht="18.75" customHeight="1" thickBot="1">
      <c r="A29" s="38" t="s">
        <v>124</v>
      </c>
      <c r="B29" s="44" t="s">
        <v>125</v>
      </c>
      <c r="C29" s="154"/>
      <c r="D29" s="154"/>
      <c r="E29" s="155">
        <f t="shared" si="1"/>
        <v>0</v>
      </c>
      <c r="F29" s="167">
        <v>4388917</v>
      </c>
      <c r="G29" s="173" t="e">
        <f>#REF!</f>
        <v>#REF!</v>
      </c>
      <c r="H29" s="173" t="e">
        <f t="shared" si="4"/>
        <v>#REF!</v>
      </c>
      <c r="I29" s="174">
        <v>1</v>
      </c>
      <c r="J29" s="175">
        <v>20</v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>
        <f t="shared" si="5"/>
        <v>0</v>
      </c>
      <c r="X29" s="178"/>
      <c r="Y29" s="178">
        <v>132910</v>
      </c>
      <c r="Z29" s="178">
        <v>52910</v>
      </c>
      <c r="AA29" s="161">
        <v>1613820</v>
      </c>
      <c r="AB29" s="161"/>
      <c r="AC29" s="161"/>
      <c r="AD29" s="161"/>
      <c r="AE29" s="161">
        <v>582121</v>
      </c>
      <c r="AF29" s="178">
        <v>132910</v>
      </c>
      <c r="AG29" s="178">
        <v>132910</v>
      </c>
      <c r="AH29" s="178">
        <v>132910</v>
      </c>
      <c r="AI29" s="163">
        <f t="shared" si="6"/>
        <v>1031699</v>
      </c>
      <c r="AJ29" s="164"/>
      <c r="AK29" s="164"/>
      <c r="AL29" s="164"/>
      <c r="AM29" s="165">
        <f t="shared" si="7"/>
        <v>36.070999244029693</v>
      </c>
    </row>
    <row r="30" spans="1:39" ht="18.75" customHeight="1" thickBot="1">
      <c r="A30" s="38" t="s">
        <v>126</v>
      </c>
      <c r="B30" s="44" t="s">
        <v>127</v>
      </c>
      <c r="C30" s="154"/>
      <c r="D30" s="154"/>
      <c r="E30" s="155">
        <f t="shared" si="1"/>
        <v>0</v>
      </c>
      <c r="F30" s="167">
        <v>2167980</v>
      </c>
      <c r="G30" s="173" t="e">
        <f>#REF!</f>
        <v>#REF!</v>
      </c>
      <c r="H30" s="173" t="e">
        <f t="shared" si="4"/>
        <v>#REF!</v>
      </c>
      <c r="I30" s="174">
        <v>1</v>
      </c>
      <c r="J30" s="175">
        <v>20</v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>
        <f t="shared" si="5"/>
        <v>0</v>
      </c>
      <c r="X30" s="178">
        <v>71000</v>
      </c>
      <c r="Y30" s="178">
        <v>68000</v>
      </c>
      <c r="Z30" s="178">
        <v>72000</v>
      </c>
      <c r="AA30" s="161">
        <v>473100</v>
      </c>
      <c r="AB30" s="161"/>
      <c r="AC30" s="161"/>
      <c r="AD30" s="161"/>
      <c r="AE30" s="161">
        <v>615508</v>
      </c>
      <c r="AF30" s="178">
        <v>72000</v>
      </c>
      <c r="AG30" s="178">
        <v>72000</v>
      </c>
      <c r="AH30" s="178">
        <v>72000</v>
      </c>
      <c r="AI30" s="163">
        <f t="shared" si="6"/>
        <v>-142408</v>
      </c>
      <c r="AJ30" s="164"/>
      <c r="AK30" s="164"/>
      <c r="AL30" s="164"/>
      <c r="AM30" s="165">
        <f>AE30/AA30*100</f>
        <v>130.10103572183471</v>
      </c>
    </row>
    <row r="31" spans="1:39" ht="18.75" hidden="1" customHeight="1">
      <c r="A31" s="42" t="s">
        <v>219</v>
      </c>
      <c r="B31" s="39" t="s">
        <v>220</v>
      </c>
      <c r="C31" s="179"/>
      <c r="D31" s="179"/>
      <c r="E31" s="180"/>
      <c r="F31" s="167"/>
      <c r="G31" s="173"/>
      <c r="H31" s="173"/>
      <c r="I31" s="174"/>
      <c r="J31" s="175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  <c r="X31" s="178"/>
      <c r="Y31" s="178"/>
      <c r="Z31" s="178"/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81">
        <v>0</v>
      </c>
      <c r="AJ31" s="164"/>
      <c r="AK31" s="164"/>
      <c r="AL31" s="164"/>
      <c r="AM31" s="165">
        <v>0</v>
      </c>
    </row>
    <row r="32" spans="1:39" ht="18.75" hidden="1" customHeight="1">
      <c r="A32" s="38" t="s">
        <v>221</v>
      </c>
      <c r="B32" s="40" t="s">
        <v>222</v>
      </c>
      <c r="C32" s="179"/>
      <c r="D32" s="179"/>
      <c r="E32" s="180"/>
      <c r="F32" s="167"/>
      <c r="G32" s="173"/>
      <c r="H32" s="173"/>
      <c r="I32" s="174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7"/>
      <c r="X32" s="178"/>
      <c r="Y32" s="178"/>
      <c r="Z32" s="178"/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81">
        <v>0</v>
      </c>
      <c r="AJ32" s="164"/>
      <c r="AK32" s="164"/>
      <c r="AL32" s="164"/>
      <c r="AM32" s="165">
        <v>0</v>
      </c>
    </row>
    <row r="33" spans="1:39" ht="18.75" hidden="1" customHeight="1">
      <c r="A33" s="38" t="s">
        <v>223</v>
      </c>
      <c r="B33" s="41" t="s">
        <v>224</v>
      </c>
      <c r="C33" s="179"/>
      <c r="D33" s="179"/>
      <c r="E33" s="180"/>
      <c r="F33" s="167"/>
      <c r="G33" s="173"/>
      <c r="H33" s="173"/>
      <c r="I33" s="174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7"/>
      <c r="X33" s="178"/>
      <c r="Y33" s="178"/>
      <c r="Z33" s="178"/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81">
        <v>0</v>
      </c>
      <c r="AJ33" s="164"/>
      <c r="AK33" s="164"/>
      <c r="AL33" s="164"/>
      <c r="AM33" s="165">
        <v>0</v>
      </c>
    </row>
    <row r="34" spans="1:39" ht="30" hidden="1" customHeight="1">
      <c r="A34" s="38" t="s">
        <v>225</v>
      </c>
      <c r="B34" s="41" t="s">
        <v>226</v>
      </c>
      <c r="C34" s="179"/>
      <c r="D34" s="179"/>
      <c r="E34" s="180"/>
      <c r="F34" s="167"/>
      <c r="G34" s="173"/>
      <c r="H34" s="173"/>
      <c r="I34" s="174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7"/>
      <c r="X34" s="178"/>
      <c r="Y34" s="178"/>
      <c r="Z34" s="178"/>
      <c r="AA34" s="161"/>
      <c r="AB34" s="161"/>
      <c r="AC34" s="161"/>
      <c r="AD34" s="161"/>
      <c r="AE34" s="161">
        <v>0</v>
      </c>
      <c r="AF34" s="178"/>
      <c r="AG34" s="178"/>
      <c r="AH34" s="178"/>
      <c r="AI34" s="181">
        <v>0</v>
      </c>
      <c r="AJ34" s="164"/>
      <c r="AK34" s="164"/>
      <c r="AL34" s="164"/>
      <c r="AM34" s="165" t="e">
        <f t="shared" si="7"/>
        <v>#DIV/0!</v>
      </c>
    </row>
    <row r="35" spans="1:39" ht="19.5" hidden="1" customHeight="1" thickBot="1">
      <c r="A35" s="182">
        <v>12</v>
      </c>
      <c r="B35" s="272" t="s">
        <v>128</v>
      </c>
      <c r="C35" s="273"/>
      <c r="D35" s="273"/>
      <c r="E35" s="274"/>
      <c r="F35" s="167"/>
      <c r="G35" s="173" t="e">
        <f>#REF!</f>
        <v>#REF!</v>
      </c>
      <c r="H35" s="173" t="e">
        <f t="shared" si="4"/>
        <v>#REF!</v>
      </c>
      <c r="I35" s="176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7">
        <f t="shared" si="5"/>
        <v>0</v>
      </c>
      <c r="X35" s="178"/>
      <c r="Y35" s="178"/>
      <c r="Z35" s="178"/>
      <c r="AA35" s="161">
        <v>0</v>
      </c>
      <c r="AB35" s="161"/>
      <c r="AC35" s="161"/>
      <c r="AD35" s="161"/>
      <c r="AE35" s="161">
        <v>0</v>
      </c>
      <c r="AF35" s="178"/>
      <c r="AG35" s="178"/>
      <c r="AH35" s="178"/>
      <c r="AI35" s="163">
        <v>0</v>
      </c>
      <c r="AJ35" s="164"/>
      <c r="AK35" s="164"/>
      <c r="AL35" s="164"/>
      <c r="AM35" s="165">
        <v>0</v>
      </c>
    </row>
    <row r="36" spans="1:39" ht="20.25" customHeight="1">
      <c r="A36" s="160"/>
      <c r="B36" s="182" t="s">
        <v>129</v>
      </c>
      <c r="C36" s="154"/>
      <c r="D36" s="154"/>
      <c r="E36" s="155">
        <f t="shared" si="1"/>
        <v>0</v>
      </c>
      <c r="F36" s="167">
        <f>SUM(F9:F26,F35)</f>
        <v>192240000</v>
      </c>
      <c r="G36" s="183" t="e">
        <f t="shared" ref="G36:Z36" si="9">SUM(G9:G26,G35)</f>
        <v>#REF!</v>
      </c>
      <c r="H36" s="183" t="e">
        <f t="shared" si="9"/>
        <v>#REF!</v>
      </c>
      <c r="I36" s="183">
        <f t="shared" si="9"/>
        <v>18</v>
      </c>
      <c r="J36" s="183">
        <f t="shared" si="9"/>
        <v>340</v>
      </c>
      <c r="K36" s="183">
        <f t="shared" si="9"/>
        <v>0</v>
      </c>
      <c r="L36" s="183">
        <f t="shared" si="9"/>
        <v>0</v>
      </c>
      <c r="M36" s="183">
        <f t="shared" si="9"/>
        <v>0</v>
      </c>
      <c r="N36" s="183">
        <f t="shared" si="9"/>
        <v>0</v>
      </c>
      <c r="O36" s="183">
        <f t="shared" si="9"/>
        <v>0</v>
      </c>
      <c r="P36" s="183">
        <f t="shared" si="9"/>
        <v>0</v>
      </c>
      <c r="Q36" s="183">
        <f t="shared" si="9"/>
        <v>0</v>
      </c>
      <c r="R36" s="183">
        <f t="shared" si="9"/>
        <v>0</v>
      </c>
      <c r="S36" s="183">
        <f t="shared" si="9"/>
        <v>0</v>
      </c>
      <c r="T36" s="183">
        <f t="shared" si="9"/>
        <v>0</v>
      </c>
      <c r="U36" s="183">
        <f t="shared" si="9"/>
        <v>0</v>
      </c>
      <c r="V36" s="183">
        <f t="shared" si="9"/>
        <v>0</v>
      </c>
      <c r="W36" s="183">
        <f t="shared" si="9"/>
        <v>0</v>
      </c>
      <c r="X36" s="183">
        <f t="shared" si="9"/>
        <v>5319300</v>
      </c>
      <c r="Y36" s="183">
        <f t="shared" si="9"/>
        <v>7129480</v>
      </c>
      <c r="Z36" s="183">
        <f t="shared" si="9"/>
        <v>3428100</v>
      </c>
      <c r="AA36" s="156">
        <f>SUM(AA9:AA26)</f>
        <v>52667148</v>
      </c>
      <c r="AB36" s="156">
        <f t="shared" ref="AB36:AL36" si="10">SUM(AB9:AB35)</f>
        <v>0</v>
      </c>
      <c r="AC36" s="156">
        <f t="shared" si="10"/>
        <v>0</v>
      </c>
      <c r="AD36" s="156">
        <f t="shared" si="10"/>
        <v>0</v>
      </c>
      <c r="AE36" s="156">
        <f>SUM(AE9:AE26,AE35)-1</f>
        <v>46286236</v>
      </c>
      <c r="AF36" s="170">
        <f t="shared" si="10"/>
        <v>7256325</v>
      </c>
      <c r="AG36" s="170">
        <f t="shared" si="10"/>
        <v>7256325</v>
      </c>
      <c r="AH36" s="170">
        <f t="shared" si="10"/>
        <v>7206325</v>
      </c>
      <c r="AI36" s="156">
        <f>SUM(AI9:AI26)</f>
        <v>6380911</v>
      </c>
      <c r="AJ36" s="184">
        <f t="shared" si="10"/>
        <v>0</v>
      </c>
      <c r="AK36" s="184">
        <f t="shared" si="10"/>
        <v>0</v>
      </c>
      <c r="AL36" s="184">
        <f t="shared" si="10"/>
        <v>0</v>
      </c>
      <c r="AM36" s="172">
        <f>AE36/AA36*100</f>
        <v>87.884455030676804</v>
      </c>
    </row>
    <row r="37" spans="1:39" ht="18.75">
      <c r="A37" s="185" t="s">
        <v>130</v>
      </c>
      <c r="B37" s="186" t="s">
        <v>131</v>
      </c>
      <c r="C37" s="160"/>
      <c r="D37" s="160"/>
      <c r="E37" s="187">
        <f t="shared" si="1"/>
        <v>0</v>
      </c>
      <c r="F37" s="167"/>
      <c r="G37" s="188" t="e">
        <f>#REF!</f>
        <v>#REF!</v>
      </c>
      <c r="H37" s="188" t="e">
        <f t="shared" si="4"/>
        <v>#REF!</v>
      </c>
      <c r="I37" s="178"/>
      <c r="J37" s="189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90">
        <f t="shared" si="5"/>
        <v>0</v>
      </c>
      <c r="X37" s="178"/>
      <c r="Y37" s="178"/>
      <c r="Z37" s="178"/>
      <c r="AA37" s="191"/>
      <c r="AB37" s="191"/>
      <c r="AC37" s="191"/>
      <c r="AD37" s="191"/>
      <c r="AE37" s="191"/>
      <c r="AF37" s="178"/>
      <c r="AG37" s="178"/>
      <c r="AH37" s="178"/>
      <c r="AI37" s="192"/>
      <c r="AJ37" s="164"/>
      <c r="AK37" s="164"/>
      <c r="AL37" s="164"/>
      <c r="AM37" s="164"/>
    </row>
    <row r="38" spans="1:39" ht="17.25" customHeight="1">
      <c r="A38" s="193" t="s">
        <v>132</v>
      </c>
      <c r="B38" s="194" t="s">
        <v>133</v>
      </c>
      <c r="C38" s="160"/>
      <c r="D38" s="160"/>
      <c r="E38" s="187">
        <f t="shared" si="1"/>
        <v>0</v>
      </c>
      <c r="F38" s="167">
        <v>551688</v>
      </c>
      <c r="G38" s="188" t="e">
        <f>#REF!</f>
        <v>#REF!</v>
      </c>
      <c r="H38" s="188" t="e">
        <f t="shared" si="4"/>
        <v>#REF!</v>
      </c>
      <c r="I38" s="178"/>
      <c r="J38" s="189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90">
        <f t="shared" si="5"/>
        <v>0</v>
      </c>
      <c r="X38" s="178"/>
      <c r="Y38" s="178"/>
      <c r="Z38" s="178"/>
      <c r="AA38" s="195">
        <v>138024</v>
      </c>
      <c r="AB38" s="195"/>
      <c r="AC38" s="195"/>
      <c r="AD38" s="195"/>
      <c r="AE38" s="195">
        <v>360435</v>
      </c>
      <c r="AF38" s="162">
        <v>91251</v>
      </c>
      <c r="AG38" s="162">
        <v>91251</v>
      </c>
      <c r="AH38" s="162">
        <v>91251</v>
      </c>
      <c r="AI38" s="163">
        <f t="shared" ref="AI38:AI42" si="11">AA38-AE38</f>
        <v>-222411</v>
      </c>
      <c r="AJ38" s="164"/>
      <c r="AK38" s="164"/>
      <c r="AL38" s="164"/>
      <c r="AM38" s="165">
        <f t="shared" si="7"/>
        <v>261.13936706659712</v>
      </c>
    </row>
    <row r="39" spans="1:39" ht="18" customHeight="1">
      <c r="A39" s="193" t="s">
        <v>134</v>
      </c>
      <c r="B39" s="194" t="s">
        <v>135</v>
      </c>
      <c r="C39" s="160"/>
      <c r="D39" s="160"/>
      <c r="E39" s="187">
        <f t="shared" si="1"/>
        <v>0</v>
      </c>
      <c r="F39" s="167">
        <v>375120</v>
      </c>
      <c r="G39" s="188" t="e">
        <f>#REF!</f>
        <v>#REF!</v>
      </c>
      <c r="H39" s="188" t="e">
        <f t="shared" si="4"/>
        <v>#REF!</v>
      </c>
      <c r="I39" s="178"/>
      <c r="J39" s="189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90">
        <f t="shared" si="5"/>
        <v>0</v>
      </c>
      <c r="X39" s="178"/>
      <c r="Y39" s="178"/>
      <c r="Z39" s="178"/>
      <c r="AA39" s="195">
        <v>93780</v>
      </c>
      <c r="AB39" s="195"/>
      <c r="AC39" s="195"/>
      <c r="AD39" s="195"/>
      <c r="AE39" s="195">
        <v>232892</v>
      </c>
      <c r="AF39" s="162">
        <v>129823</v>
      </c>
      <c r="AG39" s="162">
        <v>129823</v>
      </c>
      <c r="AH39" s="162">
        <v>129823</v>
      </c>
      <c r="AI39" s="163">
        <f t="shared" si="11"/>
        <v>-139112</v>
      </c>
      <c r="AJ39" s="164"/>
      <c r="AK39" s="164"/>
      <c r="AL39" s="164"/>
      <c r="AM39" s="165">
        <f t="shared" si="7"/>
        <v>248.33866496054594</v>
      </c>
    </row>
    <row r="40" spans="1:39" ht="17.25" customHeight="1">
      <c r="A40" s="193" t="s">
        <v>136</v>
      </c>
      <c r="B40" s="194" t="s">
        <v>137</v>
      </c>
      <c r="C40" s="160"/>
      <c r="D40" s="160"/>
      <c r="E40" s="187">
        <f t="shared" si="1"/>
        <v>0</v>
      </c>
      <c r="F40" s="167">
        <v>435600</v>
      </c>
      <c r="G40" s="188" t="e">
        <f>#REF!</f>
        <v>#REF!</v>
      </c>
      <c r="H40" s="188" t="e">
        <f t="shared" si="4"/>
        <v>#REF!</v>
      </c>
      <c r="I40" s="178"/>
      <c r="J40" s="189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90">
        <f t="shared" si="5"/>
        <v>0</v>
      </c>
      <c r="X40" s="178"/>
      <c r="Y40" s="178"/>
      <c r="Z40" s="178"/>
      <c r="AA40" s="195">
        <v>118800</v>
      </c>
      <c r="AB40" s="195"/>
      <c r="AC40" s="195"/>
      <c r="AD40" s="195"/>
      <c r="AE40" s="195">
        <v>72160</v>
      </c>
      <c r="AF40" s="162">
        <v>104256</v>
      </c>
      <c r="AG40" s="162">
        <v>104256</v>
      </c>
      <c r="AH40" s="162">
        <v>104256</v>
      </c>
      <c r="AI40" s="163">
        <f t="shared" si="11"/>
        <v>46640</v>
      </c>
      <c r="AJ40" s="164"/>
      <c r="AK40" s="164"/>
      <c r="AL40" s="164"/>
      <c r="AM40" s="165">
        <f t="shared" si="7"/>
        <v>60.74074074074074</v>
      </c>
    </row>
    <row r="41" spans="1:39" ht="18" customHeight="1">
      <c r="A41" s="193" t="s">
        <v>138</v>
      </c>
      <c r="B41" s="194" t="s">
        <v>139</v>
      </c>
      <c r="C41" s="160"/>
      <c r="D41" s="160"/>
      <c r="E41" s="187">
        <f t="shared" si="1"/>
        <v>0</v>
      </c>
      <c r="F41" s="167">
        <v>361440</v>
      </c>
      <c r="G41" s="188" t="e">
        <f>#REF!</f>
        <v>#REF!</v>
      </c>
      <c r="H41" s="188" t="e">
        <f t="shared" si="4"/>
        <v>#REF!</v>
      </c>
      <c r="I41" s="178"/>
      <c r="J41" s="189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90">
        <f t="shared" si="5"/>
        <v>0</v>
      </c>
      <c r="X41" s="178"/>
      <c r="Y41" s="178"/>
      <c r="Z41" s="178"/>
      <c r="AA41" s="195">
        <v>90360</v>
      </c>
      <c r="AB41" s="195"/>
      <c r="AC41" s="195"/>
      <c r="AD41" s="195"/>
      <c r="AE41" s="195">
        <v>99808</v>
      </c>
      <c r="AF41" s="162">
        <v>104400</v>
      </c>
      <c r="AG41" s="162">
        <v>104400</v>
      </c>
      <c r="AH41" s="162">
        <v>104400</v>
      </c>
      <c r="AI41" s="163">
        <f t="shared" si="11"/>
        <v>-9448</v>
      </c>
      <c r="AJ41" s="164"/>
      <c r="AK41" s="164"/>
      <c r="AL41" s="164"/>
      <c r="AM41" s="165">
        <f t="shared" si="7"/>
        <v>110.45595396193006</v>
      </c>
    </row>
    <row r="42" spans="1:39" ht="17.25" customHeight="1">
      <c r="A42" s="193" t="s">
        <v>140</v>
      </c>
      <c r="B42" s="194" t="s">
        <v>141</v>
      </c>
      <c r="C42" s="160"/>
      <c r="D42" s="160"/>
      <c r="E42" s="187">
        <f t="shared" si="1"/>
        <v>0</v>
      </c>
      <c r="F42" s="167">
        <v>273600</v>
      </c>
      <c r="G42" s="188" t="e">
        <f>#REF!</f>
        <v>#REF!</v>
      </c>
      <c r="H42" s="188" t="e">
        <f t="shared" si="4"/>
        <v>#REF!</v>
      </c>
      <c r="I42" s="178"/>
      <c r="J42" s="189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90">
        <f t="shared" si="5"/>
        <v>0</v>
      </c>
      <c r="X42" s="178"/>
      <c r="Y42" s="178"/>
      <c r="Z42" s="178"/>
      <c r="AA42" s="195">
        <v>68400</v>
      </c>
      <c r="AB42" s="195"/>
      <c r="AC42" s="195"/>
      <c r="AD42" s="195"/>
      <c r="AE42" s="195">
        <v>1948</v>
      </c>
      <c r="AF42" s="162">
        <v>65088</v>
      </c>
      <c r="AG42" s="162">
        <v>65088</v>
      </c>
      <c r="AH42" s="162">
        <v>65088</v>
      </c>
      <c r="AI42" s="163">
        <f t="shared" si="11"/>
        <v>66452</v>
      </c>
      <c r="AJ42" s="164"/>
      <c r="AK42" s="164"/>
      <c r="AL42" s="164"/>
      <c r="AM42" s="165">
        <f t="shared" si="7"/>
        <v>2.8479532163742691</v>
      </c>
    </row>
    <row r="43" spans="1:39" ht="17.25" customHeight="1">
      <c r="A43" s="193" t="s">
        <v>235</v>
      </c>
      <c r="B43" s="194" t="s">
        <v>236</v>
      </c>
      <c r="C43" s="160"/>
      <c r="D43" s="160"/>
      <c r="E43" s="187">
        <f t="shared" ref="E43" si="12">W43</f>
        <v>0</v>
      </c>
      <c r="F43" s="167">
        <v>1176000</v>
      </c>
      <c r="G43" s="188" t="e">
        <f>#REF!</f>
        <v>#REF!</v>
      </c>
      <c r="H43" s="188" t="e">
        <f t="shared" ref="H43" si="13">D43+E43-F43-G43</f>
        <v>#REF!</v>
      </c>
      <c r="I43" s="178"/>
      <c r="J43" s="189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90">
        <f t="shared" ref="W43" si="14">SUM(K43:V43)</f>
        <v>0</v>
      </c>
      <c r="X43" s="178"/>
      <c r="Y43" s="178"/>
      <c r="Z43" s="178"/>
      <c r="AA43" s="195">
        <v>504000</v>
      </c>
      <c r="AB43" s="195"/>
      <c r="AC43" s="195"/>
      <c r="AD43" s="195"/>
      <c r="AE43" s="195"/>
      <c r="AF43" s="162">
        <v>65088</v>
      </c>
      <c r="AG43" s="162">
        <v>65088</v>
      </c>
      <c r="AH43" s="162">
        <v>65088</v>
      </c>
      <c r="AI43" s="163">
        <f t="shared" ref="AI43" si="15">AA43-AE43</f>
        <v>504000</v>
      </c>
      <c r="AJ43" s="164"/>
      <c r="AK43" s="164"/>
      <c r="AL43" s="164"/>
      <c r="AM43" s="165">
        <f t="shared" si="7"/>
        <v>0</v>
      </c>
    </row>
    <row r="44" spans="1:39" ht="19.5" customHeight="1">
      <c r="A44" s="160"/>
      <c r="B44" s="196" t="s">
        <v>142</v>
      </c>
      <c r="C44" s="160"/>
      <c r="D44" s="160"/>
      <c r="E44" s="187">
        <f t="shared" si="1"/>
        <v>0</v>
      </c>
      <c r="F44" s="167">
        <f>SUM(F38:F43)</f>
        <v>3173448</v>
      </c>
      <c r="G44" s="188" t="e">
        <f>#REF!</f>
        <v>#REF!</v>
      </c>
      <c r="H44" s="188" t="e">
        <f t="shared" si="4"/>
        <v>#REF!</v>
      </c>
      <c r="I44" s="178"/>
      <c r="J44" s="189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90">
        <f t="shared" si="5"/>
        <v>0</v>
      </c>
      <c r="X44" s="178"/>
      <c r="Y44" s="178"/>
      <c r="Z44" s="178"/>
      <c r="AA44" s="197">
        <f>SUM(AA38:AD43)</f>
        <v>1013364</v>
      </c>
      <c r="AB44" s="197">
        <f t="shared" ref="AB44:AL44" si="16">SUM(AB38:AB42)</f>
        <v>0</v>
      </c>
      <c r="AC44" s="197">
        <f t="shared" si="16"/>
        <v>0</v>
      </c>
      <c r="AD44" s="197">
        <f t="shared" si="16"/>
        <v>0</v>
      </c>
      <c r="AE44" s="197">
        <f>SUM(AE38:AE43)</f>
        <v>767243</v>
      </c>
      <c r="AF44" s="198">
        <f t="shared" si="16"/>
        <v>494818</v>
      </c>
      <c r="AG44" s="198">
        <f t="shared" si="16"/>
        <v>494818</v>
      </c>
      <c r="AH44" s="198">
        <f t="shared" si="16"/>
        <v>494818</v>
      </c>
      <c r="AI44" s="199">
        <f t="shared" si="16"/>
        <v>-257879</v>
      </c>
      <c r="AJ44" s="200">
        <f t="shared" si="16"/>
        <v>0</v>
      </c>
      <c r="AK44" s="200">
        <f t="shared" si="16"/>
        <v>0</v>
      </c>
      <c r="AL44" s="200">
        <f t="shared" si="16"/>
        <v>0</v>
      </c>
      <c r="AM44" s="172">
        <f t="shared" si="7"/>
        <v>75.71247843815253</v>
      </c>
    </row>
    <row r="45" spans="1:39" ht="21.75" customHeight="1">
      <c r="A45" s="160"/>
      <c r="B45" s="196" t="s">
        <v>143</v>
      </c>
      <c r="C45" s="160"/>
      <c r="D45" s="160"/>
      <c r="E45" s="187">
        <f t="shared" si="1"/>
        <v>0</v>
      </c>
      <c r="F45" s="167">
        <f>F36+F44</f>
        <v>195413448</v>
      </c>
      <c r="G45" s="187" t="e">
        <f>#REF!</f>
        <v>#REF!</v>
      </c>
      <c r="H45" s="187" t="e">
        <f t="shared" si="4"/>
        <v>#REF!</v>
      </c>
      <c r="I45" s="160"/>
      <c r="J45" s="201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202">
        <f t="shared" si="5"/>
        <v>0</v>
      </c>
      <c r="X45" s="160"/>
      <c r="Y45" s="160"/>
      <c r="Z45" s="160"/>
      <c r="AA45" s="167">
        <f>AA36+AA44</f>
        <v>53680512</v>
      </c>
      <c r="AB45" s="203">
        <f t="shared" ref="AB45:AL45" si="17">AB36+AB44</f>
        <v>0</v>
      </c>
      <c r="AC45" s="203">
        <f t="shared" si="17"/>
        <v>0</v>
      </c>
      <c r="AD45" s="203">
        <f t="shared" si="17"/>
        <v>0</v>
      </c>
      <c r="AE45" s="167">
        <f>AE36+AE44</f>
        <v>47053479</v>
      </c>
      <c r="AF45" s="204">
        <f t="shared" si="17"/>
        <v>7751143</v>
      </c>
      <c r="AG45" s="204">
        <f t="shared" si="17"/>
        <v>7751143</v>
      </c>
      <c r="AH45" s="204">
        <f t="shared" si="17"/>
        <v>7701143</v>
      </c>
      <c r="AI45" s="204">
        <f>AI36+AI44</f>
        <v>6123032</v>
      </c>
      <c r="AJ45" s="204">
        <f t="shared" si="17"/>
        <v>0</v>
      </c>
      <c r="AK45" s="204">
        <f t="shared" si="17"/>
        <v>0</v>
      </c>
      <c r="AL45" s="204">
        <f t="shared" si="17"/>
        <v>0</v>
      </c>
      <c r="AM45" s="205">
        <f>AE45/AA45*100</f>
        <v>87.654676244518683</v>
      </c>
    </row>
    <row r="46" spans="1:39">
      <c r="A46" s="105"/>
      <c r="B46" s="105"/>
      <c r="C46" s="105"/>
      <c r="D46" s="105"/>
      <c r="E46" s="105"/>
      <c r="F46" s="20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>
      <c r="A47" s="105"/>
      <c r="B47" s="105"/>
      <c r="C47" s="105"/>
      <c r="D47" s="105"/>
      <c r="E47" s="105"/>
      <c r="F47" s="206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ht="15.75">
      <c r="A48" s="105"/>
      <c r="B48" s="118" t="s">
        <v>144</v>
      </c>
      <c r="C48" s="207"/>
      <c r="D48" s="207"/>
      <c r="E48" s="207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208" t="s">
        <v>145</v>
      </c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ht="15.75">
      <c r="A49" s="105"/>
      <c r="B49" s="207"/>
      <c r="C49" s="207"/>
      <c r="D49" s="207"/>
      <c r="E49" s="207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20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ht="15.75">
      <c r="A50" s="105"/>
      <c r="B50" s="118" t="s">
        <v>78</v>
      </c>
      <c r="C50" s="207"/>
      <c r="D50" s="207"/>
      <c r="E50" s="207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210" t="s">
        <v>79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ht="15.75">
      <c r="A51" s="105"/>
      <c r="B51" s="207"/>
      <c r="C51" s="207"/>
      <c r="D51" s="207"/>
      <c r="E51" s="207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209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ht="15.75">
      <c r="A52" s="105"/>
      <c r="B52" s="118" t="s">
        <v>80</v>
      </c>
      <c r="C52" s="118"/>
      <c r="D52" s="118"/>
      <c r="E52" s="118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210" t="s">
        <v>237</v>
      </c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>
      <c r="A53" s="105"/>
      <c r="B53" s="105"/>
      <c r="C53" s="105"/>
      <c r="D53" s="105"/>
      <c r="E53" s="105"/>
      <c r="F53" s="206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>
      <c r="F54" s="4"/>
    </row>
    <row r="55" spans="1:39">
      <c r="F55" s="4"/>
    </row>
    <row r="56" spans="1:39">
      <c r="F56" s="4"/>
    </row>
    <row r="57" spans="1:39">
      <c r="F57" s="4"/>
    </row>
  </sheetData>
  <autoFilter ref="A6:AM44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116"/>
  <sheetViews>
    <sheetView tabSelected="1" topLeftCell="B1" zoomScaleNormal="100" workbookViewId="0">
      <pane ySplit="5" topLeftCell="A6" activePane="bottomLeft" state="frozen"/>
      <selection pane="bottomLeft" activeCell="B15" sqref="A15:XFD18"/>
    </sheetView>
  </sheetViews>
  <sheetFormatPr defaultColWidth="9.85546875" defaultRowHeight="12.75"/>
  <cols>
    <col min="1" max="1" width="5.140625" style="6" hidden="1" customWidth="1"/>
    <col min="2" max="2" width="4.140625" style="6" customWidth="1"/>
    <col min="3" max="3" width="50.42578125" style="6" bestFit="1" customWidth="1"/>
    <col min="4" max="4" width="0.140625" style="6" hidden="1" customWidth="1"/>
    <col min="5" max="5" width="14.85546875" style="6" customWidth="1"/>
    <col min="6" max="8" width="10.42578125" style="6" hidden="1" customWidth="1"/>
    <col min="9" max="9" width="14" style="6" customWidth="1"/>
    <col min="10" max="10" width="13.5703125" style="6" customWidth="1"/>
    <col min="11" max="11" width="14.42578125" style="6" customWidth="1"/>
    <col min="12" max="12" width="12" style="6" bestFit="1" customWidth="1"/>
    <col min="13" max="15" width="11.5703125" style="6" hidden="1" customWidth="1"/>
    <col min="16" max="24" width="12.140625" style="6" hidden="1" customWidth="1"/>
    <col min="25" max="25" width="6" style="6" customWidth="1"/>
    <col min="26" max="152" width="9.140625" style="6" customWidth="1"/>
    <col min="153" max="16384" width="9.85546875" style="6"/>
  </cols>
  <sheetData>
    <row r="1" spans="2:24" ht="18.75">
      <c r="C1" s="278" t="s">
        <v>238</v>
      </c>
      <c r="D1" s="278"/>
      <c r="E1" s="278"/>
      <c r="F1" s="278"/>
      <c r="G1" s="278"/>
      <c r="H1" s="278"/>
      <c r="I1" s="278"/>
      <c r="J1" s="278"/>
      <c r="K1" s="7"/>
      <c r="L1" s="7"/>
      <c r="M1" s="241"/>
      <c r="N1" s="241"/>
      <c r="O1" s="241"/>
      <c r="P1" s="8"/>
      <c r="Q1" s="8"/>
      <c r="R1" s="8"/>
      <c r="S1" s="9"/>
      <c r="T1" s="9"/>
      <c r="U1" s="9"/>
      <c r="V1" s="9"/>
      <c r="W1" s="9"/>
      <c r="X1" s="9"/>
    </row>
    <row r="2" spans="2:24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>
      <c r="B3" s="279" t="s">
        <v>146</v>
      </c>
      <c r="C3" s="280"/>
      <c r="D3" s="279" t="s">
        <v>239</v>
      </c>
      <c r="E3" s="280" t="s">
        <v>147</v>
      </c>
      <c r="F3" s="47"/>
      <c r="G3" s="48"/>
      <c r="H3" s="48"/>
      <c r="I3" s="283" t="s">
        <v>248</v>
      </c>
      <c r="J3" s="283"/>
      <c r="K3" s="49"/>
      <c r="L3" s="49"/>
      <c r="M3" s="242"/>
      <c r="N3" s="242"/>
      <c r="O3" s="242"/>
      <c r="P3" s="10"/>
      <c r="Q3" s="10"/>
      <c r="R3" s="10"/>
      <c r="S3" s="10"/>
      <c r="T3" s="10"/>
      <c r="U3" s="10"/>
      <c r="V3" s="10"/>
      <c r="W3" s="10"/>
      <c r="X3" s="10"/>
    </row>
    <row r="4" spans="2:24">
      <c r="B4" s="281"/>
      <c r="C4" s="282"/>
      <c r="D4" s="281"/>
      <c r="E4" s="282"/>
      <c r="F4" s="50">
        <v>1</v>
      </c>
      <c r="G4" s="50">
        <v>2</v>
      </c>
      <c r="H4" s="50">
        <v>3</v>
      </c>
      <c r="I4" s="50" t="s">
        <v>94</v>
      </c>
      <c r="J4" s="50" t="s">
        <v>95</v>
      </c>
      <c r="K4" s="50" t="s">
        <v>148</v>
      </c>
      <c r="L4" s="50" t="s">
        <v>149</v>
      </c>
      <c r="M4" s="50">
        <v>1</v>
      </c>
      <c r="N4" s="50">
        <v>2</v>
      </c>
      <c r="O4" s="50">
        <v>3</v>
      </c>
      <c r="P4" s="11">
        <v>4</v>
      </c>
      <c r="Q4" s="11">
        <v>5</v>
      </c>
      <c r="R4" s="11">
        <v>6</v>
      </c>
      <c r="S4" s="11">
        <v>7</v>
      </c>
      <c r="T4" s="11">
        <v>8</v>
      </c>
      <c r="U4" s="11">
        <v>9</v>
      </c>
      <c r="V4" s="11">
        <v>10</v>
      </c>
      <c r="W4" s="11">
        <v>11</v>
      </c>
      <c r="X4" s="11">
        <v>12</v>
      </c>
    </row>
    <row r="5" spans="2:24" ht="13.5" thickBot="1">
      <c r="B5" s="284"/>
      <c r="C5" s="285"/>
      <c r="D5" s="51"/>
      <c r="E5" s="51" t="s">
        <v>150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12"/>
      <c r="Q5" s="12"/>
      <c r="R5" s="12"/>
      <c r="S5" s="12"/>
      <c r="T5" s="12"/>
      <c r="U5" s="12"/>
      <c r="V5" s="12"/>
      <c r="W5" s="12"/>
      <c r="X5" s="12"/>
    </row>
    <row r="6" spans="2:24" ht="20.25">
      <c r="B6" s="52" t="s">
        <v>151</v>
      </c>
      <c r="C6" s="53" t="s">
        <v>152</v>
      </c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13"/>
      <c r="Q6" s="13"/>
      <c r="R6" s="13"/>
      <c r="S6" s="13"/>
      <c r="T6" s="13"/>
      <c r="U6" s="13"/>
      <c r="V6" s="13"/>
      <c r="W6" s="13"/>
      <c r="X6" s="13"/>
    </row>
    <row r="7" spans="2:24">
      <c r="B7" s="56" t="s">
        <v>153</v>
      </c>
      <c r="C7" s="57" t="s">
        <v>154</v>
      </c>
      <c r="D7" s="58"/>
      <c r="E7" s="58">
        <f>SUM(E8:E18)</f>
        <v>162852849</v>
      </c>
      <c r="F7" s="58">
        <f t="shared" ref="F7:X7" si="0">SUM(F8:F18)</f>
        <v>7632014</v>
      </c>
      <c r="G7" s="58">
        <f t="shared" si="0"/>
        <v>7137471</v>
      </c>
      <c r="H7" s="58">
        <f t="shared" si="0"/>
        <v>8215641</v>
      </c>
      <c r="I7" s="59">
        <f>SUM(I8:I14)</f>
        <v>44735966</v>
      </c>
      <c r="J7" s="58">
        <f t="shared" si="0"/>
        <v>39214199</v>
      </c>
      <c r="K7" s="59">
        <f>I7-J7</f>
        <v>5521767</v>
      </c>
      <c r="L7" s="60">
        <f>J7/I7</f>
        <v>0.87656984986084796</v>
      </c>
      <c r="M7" s="14">
        <f>SUM(M8:M18)</f>
        <v>12239432</v>
      </c>
      <c r="N7" s="14">
        <f t="shared" si="0"/>
        <v>11634912</v>
      </c>
      <c r="O7" s="14">
        <f t="shared" si="0"/>
        <v>13078431</v>
      </c>
      <c r="P7" s="14">
        <f>SUM(P8:P18)</f>
        <v>13461820</v>
      </c>
      <c r="Q7" s="14">
        <f t="shared" si="0"/>
        <v>13211294</v>
      </c>
      <c r="R7" s="14">
        <f t="shared" si="0"/>
        <v>12846683</v>
      </c>
      <c r="S7" s="14">
        <f t="shared" si="0"/>
        <v>14326410</v>
      </c>
      <c r="T7" s="14">
        <f t="shared" si="0"/>
        <v>15156582</v>
      </c>
      <c r="U7" s="14">
        <f t="shared" si="0"/>
        <v>15252974</v>
      </c>
      <c r="V7" s="14">
        <f t="shared" si="0"/>
        <v>14319298</v>
      </c>
      <c r="W7" s="14">
        <f t="shared" si="0"/>
        <v>12772738</v>
      </c>
      <c r="X7" s="14">
        <f t="shared" si="0"/>
        <v>14552275</v>
      </c>
    </row>
    <row r="8" spans="2:24">
      <c r="B8" s="56"/>
      <c r="C8" s="61" t="s">
        <v>155</v>
      </c>
      <c r="D8" s="62"/>
      <c r="E8" s="33">
        <f>SUM(P8:R8,S8:U8,V8:X8,M8:O8)</f>
        <v>160208309</v>
      </c>
      <c r="F8" s="33">
        <v>7523864</v>
      </c>
      <c r="G8" s="33">
        <v>6995981</v>
      </c>
      <c r="H8" s="33">
        <v>8074151</v>
      </c>
      <c r="I8" s="33">
        <f>SUM(S8:U8)</f>
        <v>43891496</v>
      </c>
      <c r="J8" s="33">
        <v>38574511</v>
      </c>
      <c r="K8" s="33">
        <f>I8-J8</f>
        <v>5316985</v>
      </c>
      <c r="L8" s="63">
        <f>J8/I8</f>
        <v>0.87886070231007851</v>
      </c>
      <c r="M8" s="33">
        <v>12131282</v>
      </c>
      <c r="N8" s="33">
        <v>11493422</v>
      </c>
      <c r="O8" s="33">
        <v>12936941</v>
      </c>
      <c r="P8" s="20">
        <v>13180330</v>
      </c>
      <c r="Q8" s="20">
        <v>12929804</v>
      </c>
      <c r="R8" s="20">
        <v>12565193</v>
      </c>
      <c r="S8" s="20">
        <v>14044920</v>
      </c>
      <c r="T8" s="20">
        <v>14875092</v>
      </c>
      <c r="U8" s="20">
        <v>14971484</v>
      </c>
      <c r="V8" s="20">
        <v>14037808</v>
      </c>
      <c r="W8" s="20">
        <v>12631248</v>
      </c>
      <c r="X8" s="20">
        <v>14410785</v>
      </c>
    </row>
    <row r="9" spans="2:24">
      <c r="B9" s="56"/>
      <c r="C9" s="61" t="s">
        <v>133</v>
      </c>
      <c r="D9" s="62"/>
      <c r="E9" s="33">
        <f>SUM(P9:R9,S9:U9,V9:X9,M9:O9)</f>
        <v>459740</v>
      </c>
      <c r="F9" s="33">
        <v>38000</v>
      </c>
      <c r="G9" s="33">
        <v>38340</v>
      </c>
      <c r="H9" s="33">
        <v>38340</v>
      </c>
      <c r="I9" s="33">
        <f>SUM(S9:U9)</f>
        <v>115020</v>
      </c>
      <c r="J9" s="33">
        <v>300363</v>
      </c>
      <c r="K9" s="33">
        <f t="shared" ref="K9:K13" si="1">I9-J9</f>
        <v>-185343</v>
      </c>
      <c r="L9" s="63">
        <f t="shared" ref="L9:L13" si="2">J9/I9</f>
        <v>2.6113980177360459</v>
      </c>
      <c r="M9" s="33">
        <v>38000</v>
      </c>
      <c r="N9" s="33">
        <v>38340</v>
      </c>
      <c r="O9" s="33">
        <v>38340</v>
      </c>
      <c r="P9" s="33">
        <v>38340</v>
      </c>
      <c r="Q9" s="33">
        <v>38340</v>
      </c>
      <c r="R9" s="33">
        <v>38340</v>
      </c>
      <c r="S9" s="33">
        <v>38340</v>
      </c>
      <c r="T9" s="33">
        <v>38340</v>
      </c>
      <c r="U9" s="33">
        <v>38340</v>
      </c>
      <c r="V9" s="33">
        <v>38340</v>
      </c>
      <c r="W9" s="33">
        <v>38340</v>
      </c>
      <c r="X9" s="33">
        <v>38340</v>
      </c>
    </row>
    <row r="10" spans="2:24">
      <c r="B10" s="56"/>
      <c r="C10" s="61" t="s">
        <v>135</v>
      </c>
      <c r="D10" s="62"/>
      <c r="E10" s="33">
        <f t="shared" ref="E10:E13" si="3">SUM(P10:R10,S10:U10,V10:X10,M10:O10)</f>
        <v>312600</v>
      </c>
      <c r="F10" s="33">
        <v>26050</v>
      </c>
      <c r="G10" s="33">
        <v>26050</v>
      </c>
      <c r="H10" s="33">
        <v>26050</v>
      </c>
      <c r="I10" s="33">
        <f t="shared" ref="I10" si="4">SUM(S10:U10)</f>
        <v>78150</v>
      </c>
      <c r="J10" s="33">
        <v>194076</v>
      </c>
      <c r="K10" s="33">
        <f t="shared" si="1"/>
        <v>-115926</v>
      </c>
      <c r="L10" s="63">
        <f t="shared" si="2"/>
        <v>2.4833781190019195</v>
      </c>
      <c r="M10" s="33">
        <v>26050</v>
      </c>
      <c r="N10" s="33">
        <v>26050</v>
      </c>
      <c r="O10" s="33">
        <v>26050</v>
      </c>
      <c r="P10" s="33">
        <v>26050</v>
      </c>
      <c r="Q10" s="33">
        <v>26050</v>
      </c>
      <c r="R10" s="33">
        <v>26050</v>
      </c>
      <c r="S10" s="33">
        <v>26050</v>
      </c>
      <c r="T10" s="33">
        <v>26050</v>
      </c>
      <c r="U10" s="33">
        <v>26050</v>
      </c>
      <c r="V10" s="33">
        <v>26050</v>
      </c>
      <c r="W10" s="33">
        <v>26050</v>
      </c>
      <c r="X10" s="33">
        <v>26050</v>
      </c>
    </row>
    <row r="11" spans="2:24">
      <c r="B11" s="56"/>
      <c r="C11" s="61" t="s">
        <v>137</v>
      </c>
      <c r="D11" s="62"/>
      <c r="E11" s="33">
        <f t="shared" si="3"/>
        <v>363000</v>
      </c>
      <c r="F11" s="33"/>
      <c r="G11" s="33">
        <v>33000</v>
      </c>
      <c r="H11" s="33">
        <v>33000</v>
      </c>
      <c r="I11" s="33">
        <f>SUM(S11:U11)</f>
        <v>99000</v>
      </c>
      <c r="J11" s="33">
        <v>60133</v>
      </c>
      <c r="K11" s="33">
        <f t="shared" si="1"/>
        <v>38867</v>
      </c>
      <c r="L11" s="63">
        <f t="shared" si="2"/>
        <v>0.60740404040404039</v>
      </c>
      <c r="M11" s="33"/>
      <c r="N11" s="33">
        <v>33000</v>
      </c>
      <c r="O11" s="33">
        <v>33000</v>
      </c>
      <c r="P11" s="33">
        <v>33000</v>
      </c>
      <c r="Q11" s="33">
        <v>33000</v>
      </c>
      <c r="R11" s="33">
        <v>33000</v>
      </c>
      <c r="S11" s="33">
        <v>33000</v>
      </c>
      <c r="T11" s="33">
        <v>33000</v>
      </c>
      <c r="U11" s="33">
        <v>33000</v>
      </c>
      <c r="V11" s="33">
        <v>33000</v>
      </c>
      <c r="W11" s="33">
        <v>33000</v>
      </c>
      <c r="X11" s="33">
        <v>33000</v>
      </c>
    </row>
    <row r="12" spans="2:24">
      <c r="B12" s="56"/>
      <c r="C12" s="61" t="s">
        <v>139</v>
      </c>
      <c r="D12" s="62"/>
      <c r="E12" s="33">
        <f t="shared" si="3"/>
        <v>301200</v>
      </c>
      <c r="F12" s="33">
        <v>25100</v>
      </c>
      <c r="G12" s="33">
        <v>25100</v>
      </c>
      <c r="H12" s="33">
        <v>25100</v>
      </c>
      <c r="I12" s="33">
        <f>SUM(S12:U12)</f>
        <v>75300</v>
      </c>
      <c r="J12" s="33">
        <v>83168</v>
      </c>
      <c r="K12" s="33">
        <f t="shared" si="1"/>
        <v>-7868</v>
      </c>
      <c r="L12" s="63">
        <f t="shared" si="2"/>
        <v>1.1044887118193891</v>
      </c>
      <c r="M12" s="33">
        <v>25100</v>
      </c>
      <c r="N12" s="33">
        <v>25100</v>
      </c>
      <c r="O12" s="33">
        <v>25100</v>
      </c>
      <c r="P12" s="33">
        <v>25100</v>
      </c>
      <c r="Q12" s="33">
        <v>25100</v>
      </c>
      <c r="R12" s="33">
        <v>25100</v>
      </c>
      <c r="S12" s="33">
        <v>25100</v>
      </c>
      <c r="T12" s="33">
        <v>25100</v>
      </c>
      <c r="U12" s="33">
        <v>25100</v>
      </c>
      <c r="V12" s="33">
        <v>25100</v>
      </c>
      <c r="W12" s="33">
        <v>25100</v>
      </c>
      <c r="X12" s="33">
        <v>25100</v>
      </c>
    </row>
    <row r="13" spans="2:24">
      <c r="B13" s="56"/>
      <c r="C13" s="61" t="s">
        <v>141</v>
      </c>
      <c r="D13" s="62"/>
      <c r="E13" s="33">
        <f t="shared" si="3"/>
        <v>228000</v>
      </c>
      <c r="F13" s="33">
        <v>19000</v>
      </c>
      <c r="G13" s="33">
        <v>19000</v>
      </c>
      <c r="H13" s="33">
        <v>19000</v>
      </c>
      <c r="I13" s="33">
        <f>SUM(S13:U13)</f>
        <v>57000</v>
      </c>
      <c r="J13" s="33">
        <v>1948</v>
      </c>
      <c r="K13" s="33">
        <f t="shared" si="1"/>
        <v>55052</v>
      </c>
      <c r="L13" s="63">
        <f t="shared" si="2"/>
        <v>3.4175438596491227E-2</v>
      </c>
      <c r="M13" s="33">
        <v>19000</v>
      </c>
      <c r="N13" s="33">
        <v>19000</v>
      </c>
      <c r="O13" s="33">
        <v>19000</v>
      </c>
      <c r="P13" s="33">
        <v>19000</v>
      </c>
      <c r="Q13" s="33">
        <v>19000</v>
      </c>
      <c r="R13" s="33">
        <v>19000</v>
      </c>
      <c r="S13" s="33">
        <v>19000</v>
      </c>
      <c r="T13" s="33">
        <v>19000</v>
      </c>
      <c r="U13" s="33">
        <v>19000</v>
      </c>
      <c r="V13" s="33">
        <v>19000</v>
      </c>
      <c r="W13" s="33">
        <v>19000</v>
      </c>
      <c r="X13" s="33">
        <v>19000</v>
      </c>
    </row>
    <row r="14" spans="2:24">
      <c r="B14" s="56"/>
      <c r="C14" s="61" t="s">
        <v>236</v>
      </c>
      <c r="D14" s="64"/>
      <c r="E14" s="33">
        <f>SUM(M14:O14,P14:R14,S14:U14,V14:X14)</f>
        <v>980000</v>
      </c>
      <c r="F14" s="33"/>
      <c r="G14" s="33"/>
      <c r="H14" s="33"/>
      <c r="I14" s="33">
        <f>SUM(S14:U14)</f>
        <v>420000</v>
      </c>
      <c r="J14" s="33"/>
      <c r="K14" s="33"/>
      <c r="L14" s="63"/>
      <c r="M14" s="33"/>
      <c r="N14" s="33"/>
      <c r="O14" s="33"/>
      <c r="P14" s="20">
        <v>140000</v>
      </c>
      <c r="Q14" s="20">
        <v>140000</v>
      </c>
      <c r="R14" s="20">
        <v>140000</v>
      </c>
      <c r="S14" s="20">
        <v>140000</v>
      </c>
      <c r="T14" s="20">
        <v>140000</v>
      </c>
      <c r="U14" s="20">
        <v>140000</v>
      </c>
      <c r="V14" s="20">
        <v>140000</v>
      </c>
      <c r="W14" s="20"/>
      <c r="X14" s="20"/>
    </row>
    <row r="15" spans="2:24" s="16" customFormat="1" ht="13.5" hidden="1">
      <c r="B15" s="65"/>
      <c r="C15" s="33"/>
      <c r="D15" s="66"/>
      <c r="E15" s="33">
        <f t="shared" ref="E15:E18" si="5">SUM(F15:X15)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0"/>
      <c r="Q15" s="20"/>
      <c r="R15" s="20"/>
      <c r="S15" s="20"/>
      <c r="T15" s="20"/>
      <c r="U15" s="20"/>
      <c r="V15" s="20"/>
      <c r="W15" s="20"/>
      <c r="X15" s="20"/>
    </row>
    <row r="16" spans="2:24" s="16" customFormat="1" ht="13.5" hidden="1">
      <c r="B16" s="65"/>
      <c r="C16" s="33"/>
      <c r="D16" s="64"/>
      <c r="E16" s="33">
        <f t="shared" si="5"/>
        <v>0</v>
      </c>
      <c r="F16" s="33"/>
      <c r="G16" s="33"/>
      <c r="H16" s="33"/>
      <c r="I16" s="33"/>
      <c r="J16" s="33"/>
      <c r="K16" s="33"/>
      <c r="L16" s="33"/>
      <c r="M16" s="33"/>
      <c r="N16" s="244"/>
      <c r="O16" s="244"/>
      <c r="P16" s="20"/>
      <c r="Q16" s="20"/>
      <c r="R16" s="20"/>
      <c r="S16" s="20"/>
      <c r="T16" s="20"/>
      <c r="U16" s="20"/>
      <c r="V16" s="20"/>
      <c r="W16" s="20"/>
      <c r="X16" s="20"/>
    </row>
    <row r="17" spans="2:25" s="16" customFormat="1" ht="13.5" hidden="1">
      <c r="B17" s="65"/>
      <c r="C17" s="33"/>
      <c r="D17" s="66"/>
      <c r="E17" s="33">
        <f t="shared" si="5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0"/>
      <c r="Q17" s="20"/>
      <c r="R17" s="20"/>
      <c r="S17" s="20"/>
      <c r="T17" s="20"/>
      <c r="U17" s="20"/>
      <c r="V17" s="20"/>
      <c r="W17" s="20"/>
      <c r="X17" s="20"/>
    </row>
    <row r="18" spans="2:25" s="16" customFormat="1" ht="13.5" hidden="1">
      <c r="B18" s="65"/>
      <c r="C18" s="33"/>
      <c r="D18" s="64"/>
      <c r="E18" s="33">
        <f t="shared" si="5"/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0"/>
      <c r="Q18" s="20"/>
      <c r="R18" s="20"/>
      <c r="S18" s="20"/>
      <c r="T18" s="20"/>
      <c r="U18" s="20"/>
      <c r="V18" s="20"/>
      <c r="W18" s="20"/>
      <c r="X18" s="20"/>
    </row>
    <row r="19" spans="2:25" ht="15.75">
      <c r="B19" s="56" t="s">
        <v>156</v>
      </c>
      <c r="C19" s="68" t="s">
        <v>20</v>
      </c>
      <c r="D19" s="69"/>
      <c r="E19" s="70">
        <f>E7</f>
        <v>162852849</v>
      </c>
      <c r="F19" s="70">
        <f t="shared" ref="F19:K19" si="6">F7</f>
        <v>7632014</v>
      </c>
      <c r="G19" s="70">
        <f t="shared" si="6"/>
        <v>7137471</v>
      </c>
      <c r="H19" s="70">
        <f t="shared" si="6"/>
        <v>8215641</v>
      </c>
      <c r="I19" s="70">
        <f>I7</f>
        <v>44735966</v>
      </c>
      <c r="J19" s="70">
        <f t="shared" si="6"/>
        <v>39214199</v>
      </c>
      <c r="K19" s="70">
        <f t="shared" si="6"/>
        <v>5521767</v>
      </c>
      <c r="L19" s="71">
        <f>J19/I19</f>
        <v>0.87656984986084796</v>
      </c>
      <c r="M19" s="245">
        <f>M7</f>
        <v>12239432</v>
      </c>
      <c r="N19" s="245">
        <f t="shared" ref="N19:O19" si="7">N7</f>
        <v>11634912</v>
      </c>
      <c r="O19" s="245">
        <f t="shared" si="7"/>
        <v>13078431</v>
      </c>
      <c r="P19" s="245">
        <f>P7</f>
        <v>13461820</v>
      </c>
      <c r="Q19" s="245">
        <f t="shared" ref="Q19:X19" si="8">Q7</f>
        <v>13211294</v>
      </c>
      <c r="R19" s="245">
        <f t="shared" si="8"/>
        <v>12846683</v>
      </c>
      <c r="S19" s="245">
        <f t="shared" si="8"/>
        <v>14326410</v>
      </c>
      <c r="T19" s="245">
        <f t="shared" si="8"/>
        <v>15156582</v>
      </c>
      <c r="U19" s="245">
        <f t="shared" si="8"/>
        <v>15252974</v>
      </c>
      <c r="V19" s="245">
        <f t="shared" si="8"/>
        <v>14319298</v>
      </c>
      <c r="W19" s="245">
        <f t="shared" si="8"/>
        <v>12772738</v>
      </c>
      <c r="X19" s="245">
        <f t="shared" si="8"/>
        <v>14552275</v>
      </c>
    </row>
    <row r="20" spans="2:25" ht="20.25">
      <c r="B20" s="52" t="s">
        <v>157</v>
      </c>
      <c r="C20" s="53" t="s">
        <v>158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9"/>
      <c r="Q20" s="19"/>
      <c r="R20" s="19"/>
      <c r="S20" s="19"/>
      <c r="T20" s="19"/>
      <c r="U20" s="19"/>
      <c r="V20" s="19"/>
      <c r="W20" s="19"/>
      <c r="X20" s="19"/>
    </row>
    <row r="21" spans="2:25" ht="14.25">
      <c r="B21" s="56" t="s">
        <v>159</v>
      </c>
      <c r="C21" s="32" t="s">
        <v>160</v>
      </c>
      <c r="D21" s="33"/>
      <c r="E21" s="33">
        <f>SUM(M21:O21,P21:R21,S21:U21,V21:X21)</f>
        <v>14605936</v>
      </c>
      <c r="F21" s="33">
        <v>1672042</v>
      </c>
      <c r="G21" s="33">
        <v>1020028</v>
      </c>
      <c r="H21" s="33">
        <v>989542</v>
      </c>
      <c r="I21" s="33">
        <f>SUM(S21:U21)</f>
        <v>3349401</v>
      </c>
      <c r="J21" s="33">
        <v>2008555</v>
      </c>
      <c r="K21" s="33">
        <f>I21-J21</f>
        <v>1340846</v>
      </c>
      <c r="L21" s="63">
        <f>J21/I21</f>
        <v>0.59967588234433555</v>
      </c>
      <c r="M21" s="33">
        <f>1416667-50200</f>
        <v>1366467</v>
      </c>
      <c r="N21" s="33">
        <f>1416667-50200</f>
        <v>1366467</v>
      </c>
      <c r="O21" s="33">
        <f>1333333-50200</f>
        <v>1283133</v>
      </c>
      <c r="P21" s="33">
        <f>1250000-50200</f>
        <v>1199800</v>
      </c>
      <c r="Q21" s="33">
        <f>1250000-50200</f>
        <v>1199800</v>
      </c>
      <c r="R21" s="33">
        <f>1166667-50200</f>
        <v>1116467</v>
      </c>
      <c r="S21" s="33">
        <f>1166667-50200</f>
        <v>1116467</v>
      </c>
      <c r="T21" s="33">
        <f>1166667-50200</f>
        <v>1116467</v>
      </c>
      <c r="U21" s="33">
        <f>1166667-50200</f>
        <v>1116467</v>
      </c>
      <c r="V21" s="33">
        <f>1166667-50200</f>
        <v>1116467</v>
      </c>
      <c r="W21" s="33">
        <f>1291667-50200</f>
        <v>1241467</v>
      </c>
      <c r="X21" s="33">
        <f>1416667-50200</f>
        <v>1366467</v>
      </c>
      <c r="Y21" s="6" t="s">
        <v>161</v>
      </c>
    </row>
    <row r="22" spans="2:25" ht="14.25">
      <c r="B22" s="56" t="s">
        <v>162</v>
      </c>
      <c r="C22" s="32" t="s">
        <v>163</v>
      </c>
      <c r="D22" s="33"/>
      <c r="E22" s="33">
        <f t="shared" ref="E22:E29" si="9">SUM(M22:O22,P22:R22,S22:U22,V22:X22)</f>
        <v>5948500</v>
      </c>
      <c r="F22" s="33">
        <v>58500</v>
      </c>
      <c r="G22" s="33">
        <v>608490</v>
      </c>
      <c r="H22" s="33">
        <f>41670+4750</f>
        <v>46420</v>
      </c>
      <c r="I22" s="33">
        <f t="shared" ref="I22:I30" si="10">SUM(S22:U22)</f>
        <v>2392000</v>
      </c>
      <c r="J22" s="33">
        <v>1430948</v>
      </c>
      <c r="K22" s="33">
        <f t="shared" ref="K22:K31" si="11">I22-J22</f>
        <v>961052</v>
      </c>
      <c r="L22" s="63">
        <f>J22/I22</f>
        <v>0.59822240802675586</v>
      </c>
      <c r="M22" s="33">
        <v>263000</v>
      </c>
      <c r="N22" s="33">
        <v>263000</v>
      </c>
      <c r="O22" s="33">
        <v>410000</v>
      </c>
      <c r="P22" s="33">
        <v>360000</v>
      </c>
      <c r="Q22" s="33">
        <v>725500</v>
      </c>
      <c r="R22" s="33">
        <v>560000</v>
      </c>
      <c r="S22" s="33">
        <v>1110000</v>
      </c>
      <c r="T22" s="33">
        <v>560000</v>
      </c>
      <c r="U22" s="33">
        <v>722000</v>
      </c>
      <c r="V22" s="33">
        <v>356000</v>
      </c>
      <c r="W22" s="33">
        <v>356000</v>
      </c>
      <c r="X22" s="33">
        <v>263000</v>
      </c>
      <c r="Y22" s="6" t="s">
        <v>164</v>
      </c>
    </row>
    <row r="23" spans="2:25" ht="14.25">
      <c r="B23" s="56" t="s">
        <v>165</v>
      </c>
      <c r="C23" s="32" t="s">
        <v>166</v>
      </c>
      <c r="D23" s="33"/>
      <c r="E23" s="33">
        <f t="shared" si="9"/>
        <v>21666668</v>
      </c>
      <c r="F23" s="33">
        <v>1224833</v>
      </c>
      <c r="G23" s="33">
        <v>1121642</v>
      </c>
      <c r="H23" s="33">
        <v>1556208</v>
      </c>
      <c r="I23" s="33">
        <f t="shared" si="10"/>
        <v>5666667</v>
      </c>
      <c r="J23" s="33">
        <v>5499650</v>
      </c>
      <c r="K23" s="33">
        <f t="shared" si="11"/>
        <v>167017</v>
      </c>
      <c r="L23" s="63">
        <f>J23/I23</f>
        <v>0.97052641349844626</v>
      </c>
      <c r="M23" s="33">
        <v>1666667</v>
      </c>
      <c r="N23" s="33">
        <v>1666667</v>
      </c>
      <c r="O23" s="33">
        <v>1666667</v>
      </c>
      <c r="P23" s="33">
        <v>1833333</v>
      </c>
      <c r="Q23" s="33">
        <v>1916667</v>
      </c>
      <c r="R23" s="33">
        <v>1916667</v>
      </c>
      <c r="S23" s="33">
        <v>1916667</v>
      </c>
      <c r="T23" s="33">
        <v>1916667</v>
      </c>
      <c r="U23" s="33">
        <v>1833333</v>
      </c>
      <c r="V23" s="33">
        <v>1833333</v>
      </c>
      <c r="W23" s="33">
        <v>1833333</v>
      </c>
      <c r="X23" s="33">
        <v>1666667</v>
      </c>
      <c r="Y23" s="6" t="s">
        <v>164</v>
      </c>
    </row>
    <row r="24" spans="2:25" ht="14.25">
      <c r="B24" s="56" t="s">
        <v>167</v>
      </c>
      <c r="C24" s="32" t="s">
        <v>240</v>
      </c>
      <c r="D24" s="33"/>
      <c r="E24" s="33">
        <f t="shared" si="9"/>
        <v>58450</v>
      </c>
      <c r="F24" s="33">
        <v>900000</v>
      </c>
      <c r="G24" s="33">
        <f>1394000-34600-125000</f>
        <v>1234400</v>
      </c>
      <c r="H24" s="33">
        <f>710000-34600</f>
        <v>675400</v>
      </c>
      <c r="I24" s="33">
        <f t="shared" si="10"/>
        <v>23250</v>
      </c>
      <c r="J24" s="33">
        <v>27432</v>
      </c>
      <c r="K24" s="33">
        <f t="shared" si="11"/>
        <v>-4182</v>
      </c>
      <c r="L24" s="63">
        <f t="shared" ref="L24:L26" si="12">J24/I24</f>
        <v>1.1798709677419355</v>
      </c>
      <c r="M24" s="63"/>
      <c r="N24" s="33">
        <v>6700</v>
      </c>
      <c r="O24" s="33"/>
      <c r="P24" s="33">
        <v>10200</v>
      </c>
      <c r="Q24" s="33"/>
      <c r="R24" s="33">
        <v>18300</v>
      </c>
      <c r="S24" s="33">
        <v>21600</v>
      </c>
      <c r="T24" s="33">
        <v>1650</v>
      </c>
      <c r="U24" s="20"/>
      <c r="V24" s="20"/>
      <c r="W24" s="20"/>
      <c r="X24" s="20"/>
      <c r="Y24" s="6" t="s">
        <v>164</v>
      </c>
    </row>
    <row r="25" spans="2:25" ht="14.25">
      <c r="B25" s="56" t="s">
        <v>168</v>
      </c>
      <c r="C25" s="32" t="s">
        <v>169</v>
      </c>
      <c r="D25" s="33"/>
      <c r="E25" s="33">
        <f t="shared" si="9"/>
        <v>43134564</v>
      </c>
      <c r="F25" s="33">
        <v>655067</v>
      </c>
      <c r="G25" s="33">
        <v>655067</v>
      </c>
      <c r="H25" s="33">
        <v>571733</v>
      </c>
      <c r="I25" s="33">
        <f t="shared" si="10"/>
        <v>11378604</v>
      </c>
      <c r="J25" s="33">
        <v>7431879</v>
      </c>
      <c r="K25" s="33">
        <f t="shared" si="11"/>
        <v>3946725</v>
      </c>
      <c r="L25" s="63">
        <f t="shared" si="12"/>
        <v>0.65314506067703915</v>
      </c>
      <c r="M25" s="33">
        <f>4000000+30749</f>
        <v>4030749</v>
      </c>
      <c r="N25" s="33">
        <f>3200000+394182</f>
        <v>3594182</v>
      </c>
      <c r="O25" s="33">
        <f>2900000-460654</f>
        <v>2439346</v>
      </c>
      <c r="P25" s="33">
        <v>3685108</v>
      </c>
      <c r="Q25" s="33">
        <v>2680948</v>
      </c>
      <c r="R25" s="33">
        <v>2346591</v>
      </c>
      <c r="S25" s="33">
        <v>3052589</v>
      </c>
      <c r="T25" s="33">
        <v>4363628</v>
      </c>
      <c r="U25" s="33">
        <v>3962387</v>
      </c>
      <c r="V25" s="33">
        <v>4547996</v>
      </c>
      <c r="W25" s="33">
        <v>2454153</v>
      </c>
      <c r="X25" s="33">
        <v>5976887</v>
      </c>
      <c r="Y25" s="6" t="s">
        <v>170</v>
      </c>
    </row>
    <row r="26" spans="2:25" ht="14.25">
      <c r="B26" s="56" t="s">
        <v>171</v>
      </c>
      <c r="C26" s="32" t="s">
        <v>241</v>
      </c>
      <c r="D26" s="33"/>
      <c r="E26" s="33">
        <f t="shared" si="9"/>
        <v>13042404</v>
      </c>
      <c r="F26" s="33">
        <v>50400</v>
      </c>
      <c r="G26" s="33">
        <v>50400</v>
      </c>
      <c r="H26" s="33">
        <v>50400</v>
      </c>
      <c r="I26" s="33">
        <f t="shared" si="10"/>
        <v>3260601</v>
      </c>
      <c r="J26" s="33">
        <v>2939195</v>
      </c>
      <c r="K26" s="33">
        <f t="shared" si="11"/>
        <v>321406</v>
      </c>
      <c r="L26" s="63">
        <f t="shared" si="12"/>
        <v>0.90142737489192948</v>
      </c>
      <c r="M26" s="33">
        <f>1104167-10800-6500</f>
        <v>1086867</v>
      </c>
      <c r="N26" s="33">
        <f t="shared" ref="N26:X26" si="13">1104167-10800-6500</f>
        <v>1086867</v>
      </c>
      <c r="O26" s="33">
        <f t="shared" si="13"/>
        <v>1086867</v>
      </c>
      <c r="P26" s="33">
        <f t="shared" si="13"/>
        <v>1086867</v>
      </c>
      <c r="Q26" s="33">
        <f t="shared" si="13"/>
        <v>1086867</v>
      </c>
      <c r="R26" s="33">
        <f t="shared" si="13"/>
        <v>1086867</v>
      </c>
      <c r="S26" s="33">
        <f t="shared" si="13"/>
        <v>1086867</v>
      </c>
      <c r="T26" s="33">
        <f t="shared" si="13"/>
        <v>1086867</v>
      </c>
      <c r="U26" s="33">
        <f t="shared" si="13"/>
        <v>1086867</v>
      </c>
      <c r="V26" s="33">
        <f t="shared" si="13"/>
        <v>1086867</v>
      </c>
      <c r="W26" s="33">
        <f t="shared" si="13"/>
        <v>1086867</v>
      </c>
      <c r="X26" s="33">
        <f t="shared" si="13"/>
        <v>1086867</v>
      </c>
      <c r="Y26" s="6" t="s">
        <v>170</v>
      </c>
    </row>
    <row r="27" spans="2:25" ht="14.25">
      <c r="B27" s="56" t="s">
        <v>172</v>
      </c>
      <c r="C27" s="32" t="s">
        <v>215</v>
      </c>
      <c r="D27" s="33"/>
      <c r="E27" s="33">
        <f t="shared" si="9"/>
        <v>852800</v>
      </c>
      <c r="F27" s="33">
        <v>94000</v>
      </c>
      <c r="G27" s="33">
        <f>94000+34600</f>
        <v>128600</v>
      </c>
      <c r="H27" s="33">
        <f>95000+34600</f>
        <v>129600</v>
      </c>
      <c r="I27" s="33">
        <f t="shared" si="10"/>
        <v>100800</v>
      </c>
      <c r="J27" s="33">
        <v>61268</v>
      </c>
      <c r="K27" s="33">
        <f t="shared" si="11"/>
        <v>39532</v>
      </c>
      <c r="L27" s="73">
        <v>0</v>
      </c>
      <c r="M27" s="33">
        <v>50400</v>
      </c>
      <c r="N27" s="33">
        <v>100400</v>
      </c>
      <c r="O27" s="33">
        <v>300000</v>
      </c>
      <c r="P27" s="33"/>
      <c r="Q27" s="33"/>
      <c r="R27" s="33"/>
      <c r="S27" s="33"/>
      <c r="T27" s="33">
        <v>50400</v>
      </c>
      <c r="U27" s="33">
        <v>50400</v>
      </c>
      <c r="V27" s="33">
        <v>100400</v>
      </c>
      <c r="W27" s="33">
        <v>100400</v>
      </c>
      <c r="X27" s="33">
        <v>100400</v>
      </c>
      <c r="Y27" s="6" t="s">
        <v>170</v>
      </c>
    </row>
    <row r="28" spans="2:25" ht="14.25">
      <c r="B28" s="56" t="s">
        <v>175</v>
      </c>
      <c r="C28" s="32" t="s">
        <v>173</v>
      </c>
      <c r="D28" s="33"/>
      <c r="E28" s="33">
        <f t="shared" si="9"/>
        <v>960000</v>
      </c>
      <c r="F28" s="33"/>
      <c r="G28" s="33"/>
      <c r="H28" s="33"/>
      <c r="I28" s="33">
        <f t="shared" si="10"/>
        <v>240000</v>
      </c>
      <c r="J28" s="33">
        <v>245719</v>
      </c>
      <c r="K28" s="33">
        <f t="shared" si="11"/>
        <v>-5719</v>
      </c>
      <c r="L28" s="73">
        <v>0</v>
      </c>
      <c r="M28" s="33">
        <v>80000</v>
      </c>
      <c r="N28" s="33">
        <v>80000</v>
      </c>
      <c r="O28" s="33">
        <v>80000</v>
      </c>
      <c r="P28" s="33">
        <v>80000</v>
      </c>
      <c r="Q28" s="33">
        <v>80000</v>
      </c>
      <c r="R28" s="33">
        <v>80000</v>
      </c>
      <c r="S28" s="33">
        <v>80000</v>
      </c>
      <c r="T28" s="33">
        <v>80000</v>
      </c>
      <c r="U28" s="33">
        <v>80000</v>
      </c>
      <c r="V28" s="33">
        <v>80000</v>
      </c>
      <c r="W28" s="33">
        <v>80000</v>
      </c>
      <c r="X28" s="33">
        <v>80000</v>
      </c>
      <c r="Y28" s="6" t="s">
        <v>174</v>
      </c>
    </row>
    <row r="29" spans="2:25">
      <c r="B29" s="56" t="s">
        <v>229</v>
      </c>
      <c r="C29" s="74" t="s">
        <v>214</v>
      </c>
      <c r="D29" s="33"/>
      <c r="E29" s="33">
        <f t="shared" si="9"/>
        <v>0</v>
      </c>
      <c r="F29" s="33"/>
      <c r="G29" s="33"/>
      <c r="H29" s="33"/>
      <c r="I29" s="33">
        <f t="shared" si="10"/>
        <v>0</v>
      </c>
      <c r="J29" s="33">
        <v>21689</v>
      </c>
      <c r="K29" s="33">
        <f t="shared" si="11"/>
        <v>-21689</v>
      </c>
      <c r="L29" s="73">
        <v>0</v>
      </c>
      <c r="M29" s="73"/>
      <c r="N29" s="73"/>
      <c r="O29" s="73"/>
      <c r="P29" s="20"/>
      <c r="Q29" s="20"/>
      <c r="R29" s="20"/>
      <c r="S29" s="20"/>
      <c r="T29" s="20"/>
      <c r="U29" s="20"/>
      <c r="V29" s="20"/>
      <c r="W29" s="20"/>
      <c r="X29" s="20"/>
    </row>
    <row r="30" spans="2:25">
      <c r="B30" s="56" t="s">
        <v>176</v>
      </c>
      <c r="C30" s="75" t="s">
        <v>177</v>
      </c>
      <c r="D30" s="35"/>
      <c r="E30" s="35">
        <f>SUM(M30:O30,P30:R30,S30:U30,V30:X30)+3</f>
        <v>32766451</v>
      </c>
      <c r="F30" s="35">
        <v>1564633</v>
      </c>
      <c r="G30" s="35">
        <v>1564633</v>
      </c>
      <c r="H30" s="35">
        <v>1564633</v>
      </c>
      <c r="I30" s="35">
        <f t="shared" si="10"/>
        <v>9828451</v>
      </c>
      <c r="J30" s="35">
        <v>8176637</v>
      </c>
      <c r="K30" s="35">
        <f t="shared" si="11"/>
        <v>1651814</v>
      </c>
      <c r="L30" s="76">
        <f t="shared" ref="L30:L31" si="14">J30/I30</f>
        <v>0.83193546979071265</v>
      </c>
      <c r="M30" s="35">
        <v>1735400</v>
      </c>
      <c r="N30" s="35">
        <v>1733924</v>
      </c>
      <c r="O30" s="35">
        <v>2625824</v>
      </c>
      <c r="P30" s="25">
        <v>2367176</v>
      </c>
      <c r="Q30" s="25">
        <v>3362424</v>
      </c>
      <c r="R30" s="25">
        <v>3362424</v>
      </c>
      <c r="S30" s="25">
        <v>3362424</v>
      </c>
      <c r="T30" s="25">
        <v>3103603</v>
      </c>
      <c r="U30" s="25">
        <v>3362424</v>
      </c>
      <c r="V30" s="25">
        <v>3362424</v>
      </c>
      <c r="W30" s="25">
        <v>2625827</v>
      </c>
      <c r="X30" s="25">
        <v>1762574</v>
      </c>
      <c r="Y30" s="6" t="s">
        <v>178</v>
      </c>
    </row>
    <row r="31" spans="2:25">
      <c r="B31" s="56" t="s">
        <v>176</v>
      </c>
      <c r="C31" s="75" t="s">
        <v>179</v>
      </c>
      <c r="D31" s="35"/>
      <c r="E31" s="35">
        <f>SUM(M31:O31,P31:R31,S31:U31,V31:X31)+2</f>
        <v>7094719</v>
      </c>
      <c r="F31" s="35">
        <v>335425</v>
      </c>
      <c r="G31" s="35">
        <v>335425</v>
      </c>
      <c r="H31" s="35">
        <v>335425</v>
      </c>
      <c r="I31" s="35">
        <f>SUM(S31:U31)</f>
        <v>2162049</v>
      </c>
      <c r="J31" s="35">
        <v>1743265</v>
      </c>
      <c r="K31" s="35">
        <f t="shared" si="11"/>
        <v>418784</v>
      </c>
      <c r="L31" s="76">
        <f t="shared" si="14"/>
        <v>0.80630226234465552</v>
      </c>
      <c r="M31" s="35">
        <v>381788</v>
      </c>
      <c r="N31" s="35">
        <v>381463</v>
      </c>
      <c r="O31" s="35">
        <v>577463</v>
      </c>
      <c r="P31" s="25">
        <v>520561</v>
      </c>
      <c r="Q31" s="25">
        <v>739663</v>
      </c>
      <c r="R31" s="25">
        <v>739663</v>
      </c>
      <c r="S31" s="25">
        <v>739663</v>
      </c>
      <c r="T31" s="25">
        <v>682723</v>
      </c>
      <c r="U31" s="25">
        <v>739663</v>
      </c>
      <c r="V31" s="25">
        <v>739663</v>
      </c>
      <c r="W31" s="25">
        <v>541461</v>
      </c>
      <c r="X31" s="25">
        <v>310943</v>
      </c>
      <c r="Y31" s="6" t="s">
        <v>180</v>
      </c>
    </row>
    <row r="32" spans="2:25" ht="15.75">
      <c r="B32" s="56"/>
      <c r="C32" s="77" t="s">
        <v>181</v>
      </c>
      <c r="D32" s="78"/>
      <c r="E32" s="79">
        <f>SUM(E21:E31)-2</f>
        <v>140130490</v>
      </c>
      <c r="F32" s="79">
        <f t="shared" ref="F32:H32" si="15">SUM(F21:F31)</f>
        <v>6554900</v>
      </c>
      <c r="G32" s="79">
        <f t="shared" si="15"/>
        <v>6718685</v>
      </c>
      <c r="H32" s="79">
        <f t="shared" si="15"/>
        <v>5919361</v>
      </c>
      <c r="I32" s="79">
        <f>SUM(I21:I31)</f>
        <v>38401823</v>
      </c>
      <c r="J32" s="249">
        <f>SUM(J21:J31)-1</f>
        <v>29586236</v>
      </c>
      <c r="K32" s="78">
        <f>SUM(K21:K31)</f>
        <v>8815586</v>
      </c>
      <c r="L32" s="80">
        <f>J32/I32</f>
        <v>0.7704383200766276</v>
      </c>
      <c r="M32" s="31">
        <f>SUM(M21:M31)</f>
        <v>10661338</v>
      </c>
      <c r="N32" s="31">
        <f t="shared" ref="N32:O32" si="16">SUM(N21:N31)</f>
        <v>10279670</v>
      </c>
      <c r="O32" s="31">
        <f t="shared" si="16"/>
        <v>10469300</v>
      </c>
      <c r="P32" s="31">
        <f>SUM(P21:P31)</f>
        <v>11143045</v>
      </c>
      <c r="Q32" s="31">
        <f t="shared" ref="Q32:W32" si="17">SUM(Q21:Q31)</f>
        <v>11791869</v>
      </c>
      <c r="R32" s="31">
        <f t="shared" si="17"/>
        <v>11226979</v>
      </c>
      <c r="S32" s="31">
        <f t="shared" si="17"/>
        <v>12486277</v>
      </c>
      <c r="T32" s="31">
        <f t="shared" si="17"/>
        <v>12962005</v>
      </c>
      <c r="U32" s="31">
        <f t="shared" si="17"/>
        <v>12953541</v>
      </c>
      <c r="V32" s="31">
        <f t="shared" si="17"/>
        <v>13223150</v>
      </c>
      <c r="W32" s="31">
        <f t="shared" si="17"/>
        <v>10319508</v>
      </c>
      <c r="X32" s="31">
        <f>SUM(X21:X31)</f>
        <v>12613805</v>
      </c>
    </row>
    <row r="33" spans="1:25">
      <c r="B33" s="81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1"/>
      <c r="Q33" s="21"/>
      <c r="R33" s="21"/>
      <c r="S33" s="21"/>
      <c r="T33" s="21"/>
      <c r="U33" s="21"/>
      <c r="V33" s="21"/>
      <c r="W33" s="21"/>
      <c r="X33" s="21"/>
    </row>
    <row r="34" spans="1:25" ht="15.75">
      <c r="B34" s="56"/>
      <c r="C34" s="84" t="s">
        <v>27</v>
      </c>
      <c r="D34" s="78"/>
      <c r="E34" s="79">
        <f>SUM(E35:E42)</f>
        <v>5424751</v>
      </c>
      <c r="F34" s="78">
        <f>SUM(F35:F42)</f>
        <v>379109</v>
      </c>
      <c r="G34" s="78">
        <f t="shared" ref="G34:H34" si="18">SUM(G35:G42)</f>
        <v>379109</v>
      </c>
      <c r="H34" s="78">
        <f t="shared" si="18"/>
        <v>379109</v>
      </c>
      <c r="I34" s="78">
        <f>SUM(I35:I47)</f>
        <v>1416606</v>
      </c>
      <c r="J34" s="78">
        <f>SUM(J35:J47)</f>
        <v>1602927</v>
      </c>
      <c r="K34" s="78">
        <f>I34-J34</f>
        <v>-186321</v>
      </c>
      <c r="L34" s="80">
        <f>J34/I34</f>
        <v>1.1315263383043697</v>
      </c>
      <c r="M34" s="31">
        <f>SUM(M35:M42)</f>
        <v>430576</v>
      </c>
      <c r="N34" s="31">
        <f t="shared" ref="N34:O34" si="19">SUM(N35:N42)</f>
        <v>434876</v>
      </c>
      <c r="O34" s="31">
        <f t="shared" si="19"/>
        <v>431576</v>
      </c>
      <c r="P34" s="31">
        <f>SUM(P35:P42)</f>
        <v>553243</v>
      </c>
      <c r="Q34" s="31">
        <f t="shared" ref="Q34:X34" si="20">SUM(Q35:Q42)</f>
        <v>431576</v>
      </c>
      <c r="R34" s="31">
        <f t="shared" si="20"/>
        <v>431576</v>
      </c>
      <c r="S34" s="31">
        <f t="shared" si="20"/>
        <v>431576</v>
      </c>
      <c r="T34" s="31">
        <f t="shared" si="20"/>
        <v>553454</v>
      </c>
      <c r="U34" s="31">
        <f t="shared" si="20"/>
        <v>431576</v>
      </c>
      <c r="V34" s="31">
        <f t="shared" si="20"/>
        <v>431576</v>
      </c>
      <c r="W34" s="31">
        <f t="shared" si="20"/>
        <v>431576</v>
      </c>
      <c r="X34" s="31">
        <f t="shared" si="20"/>
        <v>431576</v>
      </c>
    </row>
    <row r="35" spans="1:25">
      <c r="A35" s="6">
        <v>1</v>
      </c>
      <c r="B35" s="56" t="s">
        <v>182</v>
      </c>
      <c r="C35" s="75" t="s">
        <v>177</v>
      </c>
      <c r="D35" s="35"/>
      <c r="E35" s="35">
        <f>SUM(M35:O35,P35:R35,S35:U35,V35:X35)-5</f>
        <v>4178714</v>
      </c>
      <c r="F35" s="35">
        <v>290558</v>
      </c>
      <c r="G35" s="35">
        <v>290558</v>
      </c>
      <c r="H35" s="35">
        <v>290558</v>
      </c>
      <c r="I35" s="35">
        <f>SUM(S35:U35)</f>
        <v>1094673</v>
      </c>
      <c r="J35" s="35">
        <v>1202622</v>
      </c>
      <c r="K35" s="35">
        <f>I35-J35</f>
        <v>-107949</v>
      </c>
      <c r="L35" s="76">
        <f>J35/I35</f>
        <v>1.0986130104606582</v>
      </c>
      <c r="M35" s="246">
        <v>331591</v>
      </c>
      <c r="N35" s="246">
        <v>331591</v>
      </c>
      <c r="O35" s="246">
        <v>331591</v>
      </c>
      <c r="P35" s="246">
        <v>431318</v>
      </c>
      <c r="Q35" s="246">
        <v>331591</v>
      </c>
      <c r="R35" s="246">
        <v>331591</v>
      </c>
      <c r="S35" s="246">
        <v>331591</v>
      </c>
      <c r="T35" s="246">
        <v>431491</v>
      </c>
      <c r="U35" s="246">
        <v>331591</v>
      </c>
      <c r="V35" s="246">
        <v>331591</v>
      </c>
      <c r="W35" s="246">
        <v>331591</v>
      </c>
      <c r="X35" s="246">
        <v>331591</v>
      </c>
      <c r="Y35" s="6" t="s">
        <v>178</v>
      </c>
    </row>
    <row r="36" spans="1:25">
      <c r="A36" s="6">
        <f t="shared" ref="A36:A41" si="21">A35+1</f>
        <v>2</v>
      </c>
      <c r="B36" s="56" t="s">
        <v>182</v>
      </c>
      <c r="C36" s="75" t="s">
        <v>179</v>
      </c>
      <c r="D36" s="35"/>
      <c r="E36" s="35">
        <f>SUM(M36:O36,P36:R36,S36:U36,V36:X36)-1</f>
        <v>919317</v>
      </c>
      <c r="F36" s="35">
        <v>63216</v>
      </c>
      <c r="G36" s="35">
        <v>63216</v>
      </c>
      <c r="H36" s="35">
        <v>63216</v>
      </c>
      <c r="I36" s="35">
        <f>SUM(S36:U36)</f>
        <v>240828</v>
      </c>
      <c r="J36" s="35">
        <v>264577</v>
      </c>
      <c r="K36" s="35">
        <f>I36-J36</f>
        <v>-23749</v>
      </c>
      <c r="L36" s="76">
        <f>J36/I36</f>
        <v>1.0986139485441893</v>
      </c>
      <c r="M36" s="246">
        <v>72950</v>
      </c>
      <c r="N36" s="246">
        <v>72950</v>
      </c>
      <c r="O36" s="246">
        <v>72950</v>
      </c>
      <c r="P36" s="246">
        <v>94890</v>
      </c>
      <c r="Q36" s="246">
        <v>72950</v>
      </c>
      <c r="R36" s="246">
        <v>72950</v>
      </c>
      <c r="S36" s="246">
        <v>72950</v>
      </c>
      <c r="T36" s="246">
        <v>94928</v>
      </c>
      <c r="U36" s="246">
        <v>72950</v>
      </c>
      <c r="V36" s="246">
        <v>72950</v>
      </c>
      <c r="W36" s="246">
        <v>72950</v>
      </c>
      <c r="X36" s="246">
        <v>72950</v>
      </c>
      <c r="Y36" s="6" t="s">
        <v>180</v>
      </c>
    </row>
    <row r="37" spans="1:25" ht="14.25">
      <c r="A37" s="6">
        <f t="shared" si="21"/>
        <v>3</v>
      </c>
      <c r="B37" s="56" t="s">
        <v>182</v>
      </c>
      <c r="C37" s="32" t="s">
        <v>173</v>
      </c>
      <c r="D37" s="33"/>
      <c r="E37" s="33">
        <f t="shared" ref="E37:E42" si="22">SUM(M37:O37,P37:R37,S37:U37,V37:X37)</f>
        <v>173220</v>
      </c>
      <c r="F37" s="33">
        <v>14435</v>
      </c>
      <c r="G37" s="33">
        <v>14435</v>
      </c>
      <c r="H37" s="33">
        <v>14435</v>
      </c>
      <c r="I37" s="33">
        <f>SUM(S37:U37)</f>
        <v>43305</v>
      </c>
      <c r="J37" s="33">
        <v>44382</v>
      </c>
      <c r="K37" s="33">
        <f>I37-J37</f>
        <v>-1077</v>
      </c>
      <c r="L37" s="63">
        <f>J37/I37</f>
        <v>1.024870107377901</v>
      </c>
      <c r="M37" s="33">
        <v>14435</v>
      </c>
      <c r="N37" s="33">
        <v>14435</v>
      </c>
      <c r="O37" s="33">
        <v>14435</v>
      </c>
      <c r="P37" s="33">
        <v>14435</v>
      </c>
      <c r="Q37" s="33">
        <v>14435</v>
      </c>
      <c r="R37" s="33">
        <v>14435</v>
      </c>
      <c r="S37" s="33">
        <v>14435</v>
      </c>
      <c r="T37" s="33">
        <v>14435</v>
      </c>
      <c r="U37" s="33">
        <v>14435</v>
      </c>
      <c r="V37" s="33">
        <v>14435</v>
      </c>
      <c r="W37" s="33">
        <v>14435</v>
      </c>
      <c r="X37" s="33">
        <v>14435</v>
      </c>
      <c r="Y37" s="6" t="s">
        <v>174</v>
      </c>
    </row>
    <row r="38" spans="1:25" ht="28.5">
      <c r="A38" s="6">
        <f t="shared" si="21"/>
        <v>4</v>
      </c>
      <c r="B38" s="56" t="s">
        <v>182</v>
      </c>
      <c r="C38" s="32" t="s">
        <v>183</v>
      </c>
      <c r="D38" s="33"/>
      <c r="E38" s="33">
        <f t="shared" si="22"/>
        <v>11000</v>
      </c>
      <c r="F38" s="33">
        <v>1000</v>
      </c>
      <c r="G38" s="33">
        <v>1000</v>
      </c>
      <c r="H38" s="33">
        <v>1000</v>
      </c>
      <c r="I38" s="33">
        <f>SUM(S38:U38)</f>
        <v>3000</v>
      </c>
      <c r="J38" s="33">
        <v>20158</v>
      </c>
      <c r="K38" s="33">
        <f t="shared" ref="K38:K43" si="23">I38-J38</f>
        <v>-17158</v>
      </c>
      <c r="L38" s="63">
        <f t="shared" ref="L38:L40" si="24">J38/I38</f>
        <v>6.7193333333333332</v>
      </c>
      <c r="M38" s="33"/>
      <c r="N38" s="33">
        <v>1000</v>
      </c>
      <c r="O38" s="33">
        <v>1000</v>
      </c>
      <c r="P38" s="33">
        <v>1000</v>
      </c>
      <c r="Q38" s="33">
        <v>1000</v>
      </c>
      <c r="R38" s="33">
        <v>1000</v>
      </c>
      <c r="S38" s="33">
        <v>1000</v>
      </c>
      <c r="T38" s="33">
        <v>1000</v>
      </c>
      <c r="U38" s="33">
        <v>1000</v>
      </c>
      <c r="V38" s="33">
        <v>1000</v>
      </c>
      <c r="W38" s="33">
        <v>1000</v>
      </c>
      <c r="X38" s="33">
        <v>1000</v>
      </c>
      <c r="Y38" s="6" t="s">
        <v>164</v>
      </c>
    </row>
    <row r="39" spans="1:25" ht="14.25">
      <c r="A39" s="6">
        <f t="shared" si="21"/>
        <v>5</v>
      </c>
      <c r="B39" s="56" t="s">
        <v>182</v>
      </c>
      <c r="C39" s="32" t="s">
        <v>184</v>
      </c>
      <c r="D39" s="33"/>
      <c r="E39" s="33">
        <f t="shared" si="22"/>
        <v>42000</v>
      </c>
      <c r="F39" s="33">
        <v>1600</v>
      </c>
      <c r="G39" s="33">
        <v>1600</v>
      </c>
      <c r="H39" s="33">
        <v>1600</v>
      </c>
      <c r="I39" s="33">
        <f t="shared" ref="I39:I41" si="25">SUM(S39:U39)</f>
        <v>10500</v>
      </c>
      <c r="J39" s="33">
        <v>9075</v>
      </c>
      <c r="K39" s="33">
        <f t="shared" si="23"/>
        <v>1425</v>
      </c>
      <c r="L39" s="63">
        <f t="shared" si="24"/>
        <v>0.86428571428571432</v>
      </c>
      <c r="M39" s="33">
        <v>3500</v>
      </c>
      <c r="N39" s="33">
        <v>3500</v>
      </c>
      <c r="O39" s="33">
        <v>3500</v>
      </c>
      <c r="P39" s="33">
        <v>3500</v>
      </c>
      <c r="Q39" s="33">
        <v>3500</v>
      </c>
      <c r="R39" s="33">
        <v>3500</v>
      </c>
      <c r="S39" s="33">
        <v>3500</v>
      </c>
      <c r="T39" s="33">
        <v>3500</v>
      </c>
      <c r="U39" s="33">
        <v>3500</v>
      </c>
      <c r="V39" s="33">
        <v>3500</v>
      </c>
      <c r="W39" s="33">
        <v>3500</v>
      </c>
      <c r="X39" s="33">
        <v>3500</v>
      </c>
      <c r="Y39" s="6" t="s">
        <v>164</v>
      </c>
    </row>
    <row r="40" spans="1:25" ht="28.5">
      <c r="A40" s="6">
        <f t="shared" si="21"/>
        <v>6</v>
      </c>
      <c r="B40" s="56" t="s">
        <v>182</v>
      </c>
      <c r="C40" s="32" t="s">
        <v>185</v>
      </c>
      <c r="D40" s="33"/>
      <c r="E40" s="33">
        <f t="shared" si="22"/>
        <v>7200</v>
      </c>
      <c r="F40" s="33">
        <v>600</v>
      </c>
      <c r="G40" s="33">
        <v>600</v>
      </c>
      <c r="H40" s="33">
        <v>600</v>
      </c>
      <c r="I40" s="33">
        <f t="shared" si="25"/>
        <v>1800</v>
      </c>
      <c r="J40" s="33">
        <v>0</v>
      </c>
      <c r="K40" s="33">
        <f t="shared" si="23"/>
        <v>1800</v>
      </c>
      <c r="L40" s="63">
        <f t="shared" si="24"/>
        <v>0</v>
      </c>
      <c r="M40" s="33">
        <v>600</v>
      </c>
      <c r="N40" s="33">
        <v>600</v>
      </c>
      <c r="O40" s="33">
        <v>600</v>
      </c>
      <c r="P40" s="33">
        <v>600</v>
      </c>
      <c r="Q40" s="33">
        <v>600</v>
      </c>
      <c r="R40" s="33">
        <v>600</v>
      </c>
      <c r="S40" s="33">
        <v>600</v>
      </c>
      <c r="T40" s="33">
        <v>600</v>
      </c>
      <c r="U40" s="33">
        <v>600</v>
      </c>
      <c r="V40" s="33">
        <v>600</v>
      </c>
      <c r="W40" s="33">
        <v>600</v>
      </c>
      <c r="X40" s="33">
        <v>600</v>
      </c>
      <c r="Y40" s="6" t="s">
        <v>164</v>
      </c>
    </row>
    <row r="41" spans="1:25" ht="28.5">
      <c r="A41" s="6">
        <f t="shared" si="21"/>
        <v>7</v>
      </c>
      <c r="B41" s="56" t="s">
        <v>182</v>
      </c>
      <c r="C41" s="32" t="s">
        <v>186</v>
      </c>
      <c r="D41" s="33"/>
      <c r="E41" s="33">
        <f t="shared" si="22"/>
        <v>90000</v>
      </c>
      <c r="F41" s="33">
        <v>4500</v>
      </c>
      <c r="G41" s="33">
        <v>4500</v>
      </c>
      <c r="H41" s="33">
        <v>4500</v>
      </c>
      <c r="I41" s="33">
        <f t="shared" si="25"/>
        <v>22500</v>
      </c>
      <c r="J41" s="33">
        <v>19518</v>
      </c>
      <c r="K41" s="33">
        <f t="shared" si="23"/>
        <v>2982</v>
      </c>
      <c r="L41" s="63">
        <f>J41/I41</f>
        <v>0.86746666666666672</v>
      </c>
      <c r="M41" s="33">
        <f>6500+1000</f>
        <v>7500</v>
      </c>
      <c r="N41" s="33">
        <f t="shared" ref="N41:X41" si="26">6500+1000</f>
        <v>7500</v>
      </c>
      <c r="O41" s="33">
        <f t="shared" si="26"/>
        <v>7500</v>
      </c>
      <c r="P41" s="33">
        <f t="shared" si="26"/>
        <v>7500</v>
      </c>
      <c r="Q41" s="33">
        <f t="shared" si="26"/>
        <v>7500</v>
      </c>
      <c r="R41" s="33">
        <f t="shared" si="26"/>
        <v>7500</v>
      </c>
      <c r="S41" s="33">
        <f t="shared" si="26"/>
        <v>7500</v>
      </c>
      <c r="T41" s="33">
        <f t="shared" si="26"/>
        <v>7500</v>
      </c>
      <c r="U41" s="33">
        <f t="shared" si="26"/>
        <v>7500</v>
      </c>
      <c r="V41" s="33">
        <f t="shared" si="26"/>
        <v>7500</v>
      </c>
      <c r="W41" s="33">
        <f t="shared" si="26"/>
        <v>7500</v>
      </c>
      <c r="X41" s="33">
        <f t="shared" si="26"/>
        <v>7500</v>
      </c>
      <c r="Y41" s="6" t="s">
        <v>170</v>
      </c>
    </row>
    <row r="42" spans="1:25" ht="15.75">
      <c r="B42" s="56" t="s">
        <v>182</v>
      </c>
      <c r="C42" s="34" t="s">
        <v>216</v>
      </c>
      <c r="D42" s="58"/>
      <c r="E42" s="33">
        <f t="shared" si="22"/>
        <v>3300</v>
      </c>
      <c r="F42" s="33">
        <v>3200</v>
      </c>
      <c r="G42" s="33">
        <v>3200</v>
      </c>
      <c r="H42" s="33">
        <v>3200</v>
      </c>
      <c r="I42" s="33">
        <f t="shared" ref="I42" si="27">SUM(P42:R42)</f>
        <v>0</v>
      </c>
      <c r="J42" s="85">
        <v>2516</v>
      </c>
      <c r="K42" s="33">
        <f t="shared" si="23"/>
        <v>-2516</v>
      </c>
      <c r="L42" s="63">
        <v>0</v>
      </c>
      <c r="M42" s="63"/>
      <c r="N42" s="33">
        <v>3300</v>
      </c>
      <c r="O42" s="63"/>
      <c r="P42" s="20"/>
      <c r="Q42" s="20"/>
      <c r="R42" s="20"/>
      <c r="S42" s="20"/>
      <c r="T42" s="20"/>
      <c r="U42" s="20"/>
      <c r="V42" s="20"/>
      <c r="W42" s="20"/>
      <c r="X42" s="20"/>
      <c r="Y42" s="6" t="s">
        <v>164</v>
      </c>
    </row>
    <row r="43" spans="1:25" ht="15.75">
      <c r="B43" s="56" t="s">
        <v>182</v>
      </c>
      <c r="C43" s="34" t="s">
        <v>214</v>
      </c>
      <c r="D43" s="58"/>
      <c r="E43" s="85">
        <v>0</v>
      </c>
      <c r="F43" s="85"/>
      <c r="G43" s="85"/>
      <c r="H43" s="85"/>
      <c r="I43" s="33">
        <f t="shared" ref="I43" si="28">SUM(M43:O43)</f>
        <v>0</v>
      </c>
      <c r="J43" s="85">
        <v>40079</v>
      </c>
      <c r="K43" s="33">
        <f t="shared" si="23"/>
        <v>-40079</v>
      </c>
      <c r="L43" s="63">
        <v>0</v>
      </c>
      <c r="M43" s="63"/>
      <c r="N43" s="63"/>
      <c r="O43" s="63"/>
      <c r="P43" s="22"/>
      <c r="Q43" s="22"/>
      <c r="R43" s="22"/>
      <c r="S43" s="22"/>
      <c r="T43" s="22"/>
      <c r="U43" s="22"/>
      <c r="V43" s="22"/>
      <c r="W43" s="22"/>
      <c r="X43" s="22"/>
      <c r="Y43" s="6" t="s">
        <v>178</v>
      </c>
    </row>
    <row r="44" spans="1:25" ht="15.75" hidden="1">
      <c r="B44" s="56" t="s">
        <v>182</v>
      </c>
      <c r="C44" s="86" t="s">
        <v>187</v>
      </c>
      <c r="D44" s="58"/>
      <c r="E44" s="58" t="e">
        <f>SUM(E45:E46)</f>
        <v>#VALUE!</v>
      </c>
      <c r="F44" s="58" t="e">
        <f>SUM(F45:F46)</f>
        <v>#VALUE!</v>
      </c>
      <c r="G44" s="58" t="e">
        <f>SUM(G45:G46)</f>
        <v>#VALUE!</v>
      </c>
      <c r="H44" s="58" t="e">
        <f>SUM(H45:H46)</f>
        <v>#VALUE!</v>
      </c>
      <c r="I44" s="58"/>
      <c r="J44" s="58"/>
      <c r="K44" s="33">
        <f t="shared" ref="K44:K46" si="29">I44-J44</f>
        <v>0</v>
      </c>
      <c r="L44" s="63" t="e">
        <f t="shared" ref="L44:L46" si="30">J44/I44</f>
        <v>#DIV/0!</v>
      </c>
      <c r="M44" s="63"/>
      <c r="N44" s="63"/>
      <c r="O44" s="63"/>
      <c r="P44" s="14" t="e">
        <f t="shared" ref="P44:X44" si="31">SUM(P45:P46)</f>
        <v>#VALUE!</v>
      </c>
      <c r="Q44" s="14" t="e">
        <f t="shared" si="31"/>
        <v>#VALUE!</v>
      </c>
      <c r="R44" s="14" t="e">
        <f t="shared" si="31"/>
        <v>#VALUE!</v>
      </c>
      <c r="S44" s="14" t="e">
        <f t="shared" si="31"/>
        <v>#VALUE!</v>
      </c>
      <c r="T44" s="14" t="e">
        <f t="shared" si="31"/>
        <v>#VALUE!</v>
      </c>
      <c r="U44" s="14" t="e">
        <f t="shared" si="31"/>
        <v>#VALUE!</v>
      </c>
      <c r="V44" s="14" t="e">
        <f t="shared" si="31"/>
        <v>#VALUE!</v>
      </c>
      <c r="W44" s="14" t="e">
        <f t="shared" si="31"/>
        <v>#VALUE!</v>
      </c>
      <c r="X44" s="14" t="e">
        <f t="shared" si="31"/>
        <v>#VALUE!</v>
      </c>
    </row>
    <row r="45" spans="1:25" hidden="1">
      <c r="A45" s="6">
        <v>1</v>
      </c>
      <c r="B45" s="56" t="s">
        <v>182</v>
      </c>
      <c r="C45" s="87" t="s">
        <v>177</v>
      </c>
      <c r="D45" s="62"/>
      <c r="E45" s="62" t="e">
        <f t="shared" ref="E45:E46" si="32">SUM(F45:X45)</f>
        <v>#VALUE!</v>
      </c>
      <c r="F45" s="88" t="e">
        <f>SUMIF('[1]План ЗП'!$A$8:$A$1071,' витрати'!$B45,'[1]План ЗП'!DH$8:DH$1071)</f>
        <v>#VALUE!</v>
      </c>
      <c r="G45" s="88" t="e">
        <f>SUMIF('[1]План ЗП'!$A$8:$A$1071,' витрати'!$B45,'[1]План ЗП'!DI$8:DI$1071)</f>
        <v>#VALUE!</v>
      </c>
      <c r="H45" s="88" t="e">
        <f>SUMIF('[1]План ЗП'!$A$8:$A$1071,' витрати'!$B45,'[1]План ЗП'!DJ$8:DJ$1071)</f>
        <v>#VALUE!</v>
      </c>
      <c r="I45" s="88"/>
      <c r="J45" s="88"/>
      <c r="K45" s="33">
        <f t="shared" si="29"/>
        <v>0</v>
      </c>
      <c r="L45" s="63" t="e">
        <f t="shared" si="30"/>
        <v>#DIV/0!</v>
      </c>
      <c r="M45" s="63"/>
      <c r="N45" s="63"/>
      <c r="O45" s="63"/>
      <c r="P45" s="23" t="e">
        <f>SUMIF('[1]План ЗП'!$A$8:$A$1071,' витрати'!$B45,'[1]План ЗП'!DK$8:DK$1071)</f>
        <v>#VALUE!</v>
      </c>
      <c r="Q45" s="23" t="e">
        <f>SUMIF('[1]План ЗП'!$A$8:$A$1071,' витрати'!$B45,'[1]План ЗП'!DL$8:DL$1071)</f>
        <v>#VALUE!</v>
      </c>
      <c r="R45" s="23" t="e">
        <f>SUMIF('[1]План ЗП'!$A$8:$A$1071,' витрати'!$B45,'[1]План ЗП'!DM$8:DM$1071)</f>
        <v>#VALUE!</v>
      </c>
      <c r="S45" s="23" t="e">
        <f>SUMIF('[1]План ЗП'!$A$8:$A$1071,' витрати'!$B45,'[1]План ЗП'!DN$8:DN$1071)</f>
        <v>#VALUE!</v>
      </c>
      <c r="T45" s="23" t="e">
        <f>SUMIF('[1]План ЗП'!$A$8:$A$1071,' витрати'!$B45,'[1]План ЗП'!DO$8:DO$1071)</f>
        <v>#VALUE!</v>
      </c>
      <c r="U45" s="23" t="e">
        <f>SUMIF('[1]План ЗП'!$A$8:$A$1071,' витрати'!$B45,'[1]План ЗП'!DP$8:DP$1071)</f>
        <v>#VALUE!</v>
      </c>
      <c r="V45" s="23" t="e">
        <f>SUMIF('[1]План ЗП'!$A$8:$A$1071,' витрати'!$B45,'[1]План ЗП'!DQ$8:DQ$1071)</f>
        <v>#VALUE!</v>
      </c>
      <c r="W45" s="23" t="e">
        <f>SUMIF('[1]План ЗП'!$A$8:$A$1071,' витрати'!$B45,'[1]План ЗП'!DR$8:DR$1071)</f>
        <v>#VALUE!</v>
      </c>
      <c r="X45" s="23" t="e">
        <f>SUMIF('[1]План ЗП'!$A$8:$A$1071,' витрати'!$B45,'[1]План ЗП'!DS$8:DS$1071)</f>
        <v>#VALUE!</v>
      </c>
      <c r="Y45" s="6" t="s">
        <v>178</v>
      </c>
    </row>
    <row r="46" spans="1:25" hidden="1">
      <c r="A46" s="6">
        <f t="shared" ref="A46" si="33">A45+1</f>
        <v>2</v>
      </c>
      <c r="B46" s="56" t="s">
        <v>182</v>
      </c>
      <c r="C46" s="87" t="s">
        <v>179</v>
      </c>
      <c r="D46" s="62"/>
      <c r="E46" s="62" t="e">
        <f t="shared" si="32"/>
        <v>#VALUE!</v>
      </c>
      <c r="F46" s="88" t="e">
        <f>SUMIF('[1]План ЗП'!$A$8:$A$1071,' витрати'!$B46,'[1]План ЗП'!DU$8:DU$1071)</f>
        <v>#VALUE!</v>
      </c>
      <c r="G46" s="88" t="e">
        <f>SUMIF('[1]План ЗП'!$A$8:$A$1071,' витрати'!$B46,'[1]План ЗП'!DV$8:DV$1071)</f>
        <v>#VALUE!</v>
      </c>
      <c r="H46" s="88" t="e">
        <f>SUMIF('[1]План ЗП'!$A$8:$A$1071,' витрати'!$B46,'[1]План ЗП'!DW$8:DW$1071)</f>
        <v>#VALUE!</v>
      </c>
      <c r="I46" s="88"/>
      <c r="J46" s="88"/>
      <c r="K46" s="33">
        <f t="shared" si="29"/>
        <v>0</v>
      </c>
      <c r="L46" s="63" t="e">
        <f t="shared" si="30"/>
        <v>#DIV/0!</v>
      </c>
      <c r="M46" s="63"/>
      <c r="N46" s="63"/>
      <c r="O46" s="63"/>
      <c r="P46" s="23" t="e">
        <f>SUMIF('[1]План ЗП'!$A$8:$A$1071,' витрати'!$B46,'[1]План ЗП'!DX$8:DX$1071)</f>
        <v>#VALUE!</v>
      </c>
      <c r="Q46" s="23" t="e">
        <f>SUMIF('[1]План ЗП'!$A$8:$A$1071,' витрати'!$B46,'[1]План ЗП'!DY$8:DY$1071)</f>
        <v>#VALUE!</v>
      </c>
      <c r="R46" s="23" t="e">
        <f>SUMIF('[1]План ЗП'!$A$8:$A$1071,' витрати'!$B46,'[1]План ЗП'!DZ$8:DZ$1071)</f>
        <v>#VALUE!</v>
      </c>
      <c r="S46" s="23" t="e">
        <f>SUMIF('[1]План ЗП'!$A$8:$A$1071,' витрати'!$B46,'[1]План ЗП'!EA$8:EA$1071)</f>
        <v>#VALUE!</v>
      </c>
      <c r="T46" s="23" t="e">
        <f>SUMIF('[1]План ЗП'!$A$8:$A$1071,' витрати'!$B46,'[1]План ЗП'!EB$8:EB$1071)</f>
        <v>#VALUE!</v>
      </c>
      <c r="U46" s="23" t="e">
        <f>SUMIF('[1]План ЗП'!$A$8:$A$1071,' витрати'!$B46,'[1]План ЗП'!EC$8:EC$1071)</f>
        <v>#VALUE!</v>
      </c>
      <c r="V46" s="23" t="e">
        <f>SUMIF('[1]План ЗП'!$A$8:$A$1071,' витрати'!$B46,'[1]План ЗП'!ED$8:ED$1071)</f>
        <v>#VALUE!</v>
      </c>
      <c r="W46" s="23" t="e">
        <f>SUMIF('[1]План ЗП'!$A$8:$A$1071,' витрати'!$B46,'[1]План ЗП'!EE$8:EE$1071)</f>
        <v>#VALUE!</v>
      </c>
      <c r="X46" s="23" t="e">
        <f>SUMIF('[1]План ЗП'!$A$8:$A$1071,' витрати'!$B46,'[1]План ЗП'!EF$8:EF$1071)</f>
        <v>#VALUE!</v>
      </c>
      <c r="Y46" s="6" t="s">
        <v>180</v>
      </c>
    </row>
    <row r="47" spans="1:25" s="9" customFormat="1" ht="16.5" hidden="1" customHeight="1">
      <c r="B47" s="56" t="s">
        <v>182</v>
      </c>
      <c r="C47" s="74"/>
      <c r="D47" s="33"/>
      <c r="E47" s="33"/>
      <c r="F47" s="33"/>
      <c r="G47" s="33"/>
      <c r="H47" s="33"/>
      <c r="I47" s="33"/>
      <c r="J47" s="33"/>
      <c r="K47" s="33"/>
      <c r="L47" s="63"/>
      <c r="M47" s="63"/>
      <c r="N47" s="63"/>
      <c r="O47" s="63"/>
      <c r="P47" s="20"/>
      <c r="Q47" s="20"/>
      <c r="R47" s="20"/>
      <c r="S47" s="20"/>
      <c r="T47" s="20"/>
      <c r="U47" s="20"/>
      <c r="V47" s="20"/>
      <c r="W47" s="20"/>
      <c r="X47" s="20"/>
    </row>
    <row r="48" spans="1:25" ht="15.75">
      <c r="B48" s="56"/>
      <c r="C48" s="84" t="s">
        <v>25</v>
      </c>
      <c r="D48" s="78"/>
      <c r="E48" s="79">
        <f>SUM(E49:E59)-7</f>
        <v>9168122</v>
      </c>
      <c r="F48" s="78">
        <f>SUM(F49:F59)</f>
        <v>675303</v>
      </c>
      <c r="G48" s="78">
        <f>SUM(G49:G59)</f>
        <v>675803</v>
      </c>
      <c r="H48" s="78">
        <f>SUM(H49:H59)</f>
        <v>683803</v>
      </c>
      <c r="I48" s="78">
        <f>SUM(I49:I61)</f>
        <v>2387749</v>
      </c>
      <c r="J48" s="78">
        <f>SUM(J49:J61)+2</f>
        <v>2199046</v>
      </c>
      <c r="K48" s="78">
        <f>I48-J48</f>
        <v>188703</v>
      </c>
      <c r="L48" s="80">
        <f>J48/I48</f>
        <v>0.92097033649684279</v>
      </c>
      <c r="M48" s="31">
        <f>SUM(M49:M59)</f>
        <v>730321</v>
      </c>
      <c r="N48" s="31">
        <f>SUM(N49:N59)</f>
        <v>728622</v>
      </c>
      <c r="O48" s="31">
        <f>SUM(O49:O59)</f>
        <v>738622</v>
      </c>
      <c r="P48" s="31">
        <f>SUM(P49:P59)</f>
        <v>922505</v>
      </c>
      <c r="Q48" s="31">
        <f>SUM(Q49:Q59)</f>
        <v>729822</v>
      </c>
      <c r="R48" s="31">
        <f t="shared" ref="R48:X48" si="34">SUM(R49:R59)</f>
        <v>736622</v>
      </c>
      <c r="S48" s="31">
        <f t="shared" si="34"/>
        <v>728622</v>
      </c>
      <c r="T48" s="31">
        <f t="shared" si="34"/>
        <v>922505</v>
      </c>
      <c r="U48" s="31">
        <f t="shared" si="34"/>
        <v>736622</v>
      </c>
      <c r="V48" s="31">
        <f t="shared" si="34"/>
        <v>728622</v>
      </c>
      <c r="W48" s="31">
        <f t="shared" si="34"/>
        <v>728622</v>
      </c>
      <c r="X48" s="31">
        <f t="shared" si="34"/>
        <v>736622</v>
      </c>
    </row>
    <row r="49" spans="1:25">
      <c r="A49" s="6">
        <v>1</v>
      </c>
      <c r="B49" s="56" t="s">
        <v>174</v>
      </c>
      <c r="C49" s="75" t="s">
        <v>177</v>
      </c>
      <c r="D49" s="35"/>
      <c r="E49" s="35">
        <f>SUM(M49:O49,P49:R49,S49:U49,V49:X49)</f>
        <v>6730186</v>
      </c>
      <c r="F49" s="35">
        <v>491095</v>
      </c>
      <c r="G49" s="35">
        <v>491095</v>
      </c>
      <c r="H49" s="35">
        <v>491095</v>
      </c>
      <c r="I49" s="35">
        <f>SUM(S49:U49)</f>
        <v>1762376</v>
      </c>
      <c r="J49" s="35">
        <v>1648325</v>
      </c>
      <c r="K49" s="35">
        <f>I49-J49</f>
        <v>114051</v>
      </c>
      <c r="L49" s="76">
        <f>J49/I49</f>
        <v>0.93528565981379685</v>
      </c>
      <c r="M49" s="246">
        <v>533009</v>
      </c>
      <c r="N49" s="246">
        <v>534485</v>
      </c>
      <c r="O49" s="246">
        <v>534485</v>
      </c>
      <c r="P49" s="246">
        <v>693406</v>
      </c>
      <c r="Q49" s="246">
        <v>534485</v>
      </c>
      <c r="R49" s="246">
        <v>534485</v>
      </c>
      <c r="S49" s="246">
        <v>534485</v>
      </c>
      <c r="T49" s="246">
        <v>693406</v>
      </c>
      <c r="U49" s="246">
        <v>534485</v>
      </c>
      <c r="V49" s="246">
        <v>534485</v>
      </c>
      <c r="W49" s="246">
        <v>534485</v>
      </c>
      <c r="X49" s="246">
        <v>534485</v>
      </c>
      <c r="Y49" s="6" t="s">
        <v>178</v>
      </c>
    </row>
    <row r="50" spans="1:25">
      <c r="A50" s="6">
        <f t="shared" ref="A50:A58" si="35">A49+1</f>
        <v>2</v>
      </c>
      <c r="B50" s="56" t="s">
        <v>174</v>
      </c>
      <c r="C50" s="75" t="s">
        <v>179</v>
      </c>
      <c r="D50" s="35"/>
      <c r="E50" s="35">
        <f>SUM(M50:O50,P50:R50,S50:U50,V50:X50)</f>
        <v>1480643</v>
      </c>
      <c r="F50" s="35">
        <v>108041</v>
      </c>
      <c r="G50" s="35">
        <v>108041</v>
      </c>
      <c r="H50" s="35">
        <v>108041</v>
      </c>
      <c r="I50" s="35">
        <f>SUM(S50:U50)</f>
        <v>387723</v>
      </c>
      <c r="J50" s="35">
        <v>349099</v>
      </c>
      <c r="K50" s="35">
        <f>I50-J50</f>
        <v>38624</v>
      </c>
      <c r="L50" s="76">
        <f>J50/I50</f>
        <v>0.90038248956084632</v>
      </c>
      <c r="M50" s="246">
        <v>117262</v>
      </c>
      <c r="N50" s="246">
        <v>117587</v>
      </c>
      <c r="O50" s="246">
        <v>117587</v>
      </c>
      <c r="P50" s="246">
        <v>152549</v>
      </c>
      <c r="Q50" s="246">
        <v>117587</v>
      </c>
      <c r="R50" s="246">
        <v>117587</v>
      </c>
      <c r="S50" s="246">
        <v>117587</v>
      </c>
      <c r="T50" s="246">
        <v>152549</v>
      </c>
      <c r="U50" s="246">
        <v>117587</v>
      </c>
      <c r="V50" s="246">
        <v>117587</v>
      </c>
      <c r="W50" s="246">
        <v>117587</v>
      </c>
      <c r="X50" s="246">
        <v>117587</v>
      </c>
      <c r="Y50" s="6" t="s">
        <v>180</v>
      </c>
    </row>
    <row r="51" spans="1:25">
      <c r="A51" s="6">
        <f t="shared" si="35"/>
        <v>3</v>
      </c>
      <c r="B51" s="56" t="s">
        <v>174</v>
      </c>
      <c r="C51" s="74" t="s">
        <v>188</v>
      </c>
      <c r="D51" s="33"/>
      <c r="E51" s="33">
        <f t="shared" ref="E51:E61" si="36">SUM(M51:O51,P51:R51,S51:U51,V51:X51)</f>
        <v>35500</v>
      </c>
      <c r="F51" s="33">
        <v>2500</v>
      </c>
      <c r="G51" s="33">
        <v>3000</v>
      </c>
      <c r="H51" s="33">
        <v>3000</v>
      </c>
      <c r="I51" s="33">
        <f>SUM(S51:U51)</f>
        <v>9000</v>
      </c>
      <c r="J51" s="33">
        <v>19030</v>
      </c>
      <c r="K51" s="33">
        <f>I51-J51</f>
        <v>-10030</v>
      </c>
      <c r="L51" s="63">
        <f>J51/I51</f>
        <v>2.1144444444444446</v>
      </c>
      <c r="M51" s="33">
        <v>2500</v>
      </c>
      <c r="N51" s="33">
        <v>3000</v>
      </c>
      <c r="O51" s="33">
        <v>3000</v>
      </c>
      <c r="P51" s="33">
        <v>3000</v>
      </c>
      <c r="Q51" s="33">
        <v>3000</v>
      </c>
      <c r="R51" s="33">
        <v>3000</v>
      </c>
      <c r="S51" s="33">
        <v>3000</v>
      </c>
      <c r="T51" s="33">
        <v>3000</v>
      </c>
      <c r="U51" s="33">
        <v>3000</v>
      </c>
      <c r="V51" s="33">
        <v>3000</v>
      </c>
      <c r="W51" s="33">
        <v>3000</v>
      </c>
      <c r="X51" s="33">
        <v>3000</v>
      </c>
      <c r="Y51" s="6" t="s">
        <v>174</v>
      </c>
    </row>
    <row r="52" spans="1:25">
      <c r="A52" s="6">
        <f t="shared" si="35"/>
        <v>4</v>
      </c>
      <c r="B52" s="56" t="s">
        <v>174</v>
      </c>
      <c r="C52" s="74" t="s">
        <v>189</v>
      </c>
      <c r="D52" s="33"/>
      <c r="E52" s="33">
        <f t="shared" si="36"/>
        <v>608400</v>
      </c>
      <c r="F52" s="33">
        <v>50200</v>
      </c>
      <c r="G52" s="33">
        <v>50200</v>
      </c>
      <c r="H52" s="33">
        <v>50200</v>
      </c>
      <c r="I52" s="33">
        <f t="shared" ref="I52:I59" si="37">SUM(S52:U52)</f>
        <v>150600</v>
      </c>
      <c r="J52" s="33">
        <v>75634</v>
      </c>
      <c r="K52" s="33">
        <f t="shared" ref="K52:K65" si="38">I52-J52</f>
        <v>74966</v>
      </c>
      <c r="L52" s="63">
        <f t="shared" ref="L52:L65" si="39">J52/I52</f>
        <v>0.50221779548472778</v>
      </c>
      <c r="M52" s="33">
        <f>50200+6000</f>
        <v>56200</v>
      </c>
      <c r="N52" s="33">
        <v>50200</v>
      </c>
      <c r="O52" s="33">
        <v>50200</v>
      </c>
      <c r="P52" s="33">
        <v>50200</v>
      </c>
      <c r="Q52" s="33">
        <v>50200</v>
      </c>
      <c r="R52" s="33">
        <v>50200</v>
      </c>
      <c r="S52" s="33">
        <v>50200</v>
      </c>
      <c r="T52" s="33">
        <v>50200</v>
      </c>
      <c r="U52" s="33">
        <v>50200</v>
      </c>
      <c r="V52" s="33">
        <v>50200</v>
      </c>
      <c r="W52" s="33">
        <v>50200</v>
      </c>
      <c r="X52" s="33">
        <v>50200</v>
      </c>
      <c r="Y52" s="6" t="s">
        <v>161</v>
      </c>
    </row>
    <row r="53" spans="1:25">
      <c r="A53" s="6">
        <f t="shared" si="35"/>
        <v>5</v>
      </c>
      <c r="B53" s="56" t="s">
        <v>174</v>
      </c>
      <c r="C53" s="74" t="s">
        <v>186</v>
      </c>
      <c r="D53" s="33"/>
      <c r="E53" s="33">
        <f t="shared" si="36"/>
        <v>145200</v>
      </c>
      <c r="F53" s="33">
        <v>12100</v>
      </c>
      <c r="G53" s="33">
        <v>12100</v>
      </c>
      <c r="H53" s="33">
        <v>12100</v>
      </c>
      <c r="I53" s="33">
        <f t="shared" si="37"/>
        <v>36300</v>
      </c>
      <c r="J53" s="33">
        <v>32809</v>
      </c>
      <c r="K53" s="33">
        <f t="shared" si="38"/>
        <v>3491</v>
      </c>
      <c r="L53" s="63">
        <f t="shared" si="39"/>
        <v>0.90382920110192833</v>
      </c>
      <c r="M53" s="33">
        <f>10800+1300</f>
        <v>12100</v>
      </c>
      <c r="N53" s="33">
        <f t="shared" ref="N53:X53" si="40">10800+1300</f>
        <v>12100</v>
      </c>
      <c r="O53" s="33">
        <f t="shared" si="40"/>
        <v>12100</v>
      </c>
      <c r="P53" s="33">
        <f t="shared" si="40"/>
        <v>12100</v>
      </c>
      <c r="Q53" s="33">
        <f t="shared" si="40"/>
        <v>12100</v>
      </c>
      <c r="R53" s="33">
        <f t="shared" si="40"/>
        <v>12100</v>
      </c>
      <c r="S53" s="33">
        <f t="shared" si="40"/>
        <v>12100</v>
      </c>
      <c r="T53" s="33">
        <f t="shared" si="40"/>
        <v>12100</v>
      </c>
      <c r="U53" s="33">
        <f t="shared" si="40"/>
        <v>12100</v>
      </c>
      <c r="V53" s="33">
        <f t="shared" si="40"/>
        <v>12100</v>
      </c>
      <c r="W53" s="33">
        <f t="shared" si="40"/>
        <v>12100</v>
      </c>
      <c r="X53" s="33">
        <f t="shared" si="40"/>
        <v>12100</v>
      </c>
      <c r="Y53" s="6" t="s">
        <v>170</v>
      </c>
    </row>
    <row r="54" spans="1:25" ht="28.5" customHeight="1">
      <c r="A54" s="6">
        <f t="shared" si="35"/>
        <v>6</v>
      </c>
      <c r="B54" s="56" t="s">
        <v>174</v>
      </c>
      <c r="C54" s="74" t="s">
        <v>183</v>
      </c>
      <c r="D54" s="33"/>
      <c r="E54" s="33">
        <f t="shared" si="36"/>
        <v>60000</v>
      </c>
      <c r="F54" s="33">
        <v>5000</v>
      </c>
      <c r="G54" s="33">
        <v>5000</v>
      </c>
      <c r="H54" s="33">
        <v>5000</v>
      </c>
      <c r="I54" s="33">
        <f t="shared" si="37"/>
        <v>15000</v>
      </c>
      <c r="J54" s="33">
        <v>26252</v>
      </c>
      <c r="K54" s="33">
        <f t="shared" si="38"/>
        <v>-11252</v>
      </c>
      <c r="L54" s="63">
        <f t="shared" si="39"/>
        <v>1.7501333333333333</v>
      </c>
      <c r="M54" s="33">
        <v>5000</v>
      </c>
      <c r="N54" s="33">
        <v>5000</v>
      </c>
      <c r="O54" s="33">
        <v>5000</v>
      </c>
      <c r="P54" s="33">
        <v>5000</v>
      </c>
      <c r="Q54" s="33">
        <v>5000</v>
      </c>
      <c r="R54" s="33">
        <v>5000</v>
      </c>
      <c r="S54" s="33">
        <v>5000</v>
      </c>
      <c r="T54" s="33">
        <v>5000</v>
      </c>
      <c r="U54" s="33">
        <v>5000</v>
      </c>
      <c r="V54" s="33">
        <v>5000</v>
      </c>
      <c r="W54" s="33">
        <v>5000</v>
      </c>
      <c r="X54" s="33">
        <v>5000</v>
      </c>
      <c r="Y54" s="6" t="s">
        <v>164</v>
      </c>
    </row>
    <row r="55" spans="1:25" ht="25.5">
      <c r="A55" s="6">
        <f t="shared" si="35"/>
        <v>7</v>
      </c>
      <c r="B55" s="56" t="s">
        <v>174</v>
      </c>
      <c r="C55" s="74" t="s">
        <v>190</v>
      </c>
      <c r="D55" s="33"/>
      <c r="E55" s="33">
        <f t="shared" si="36"/>
        <v>56000</v>
      </c>
      <c r="F55" s="33">
        <v>2000</v>
      </c>
      <c r="G55" s="33">
        <v>2000</v>
      </c>
      <c r="H55" s="33">
        <v>10000</v>
      </c>
      <c r="I55" s="33">
        <f t="shared" si="37"/>
        <v>14000</v>
      </c>
      <c r="J55" s="33">
        <v>45713</v>
      </c>
      <c r="K55" s="33">
        <f t="shared" si="38"/>
        <v>-31713</v>
      </c>
      <c r="L55" s="63">
        <f t="shared" si="39"/>
        <v>3.2652142857142858</v>
      </c>
      <c r="M55" s="33"/>
      <c r="N55" s="33">
        <v>2000</v>
      </c>
      <c r="O55" s="33">
        <v>12000</v>
      </c>
      <c r="P55" s="33">
        <v>2000</v>
      </c>
      <c r="Q55" s="33">
        <v>2000</v>
      </c>
      <c r="R55" s="33">
        <v>10000</v>
      </c>
      <c r="S55" s="33">
        <v>2000</v>
      </c>
      <c r="T55" s="33">
        <v>2000</v>
      </c>
      <c r="U55" s="33">
        <v>10000</v>
      </c>
      <c r="V55" s="33">
        <v>2000</v>
      </c>
      <c r="W55" s="33">
        <v>2000</v>
      </c>
      <c r="X55" s="33">
        <v>10000</v>
      </c>
      <c r="Y55" s="6" t="s">
        <v>164</v>
      </c>
    </row>
    <row r="56" spans="1:25">
      <c r="A56" s="6">
        <f t="shared" si="35"/>
        <v>8</v>
      </c>
      <c r="B56" s="56" t="s">
        <v>174</v>
      </c>
      <c r="C56" s="74" t="s">
        <v>56</v>
      </c>
      <c r="D56" s="33"/>
      <c r="E56" s="33">
        <f t="shared" si="36"/>
        <v>1200</v>
      </c>
      <c r="F56" s="33">
        <v>67</v>
      </c>
      <c r="G56" s="33">
        <v>67</v>
      </c>
      <c r="H56" s="33">
        <v>67</v>
      </c>
      <c r="I56" s="33">
        <f t="shared" si="37"/>
        <v>300</v>
      </c>
      <c r="J56" s="33">
        <v>3508</v>
      </c>
      <c r="K56" s="33">
        <f t="shared" si="38"/>
        <v>-3208</v>
      </c>
      <c r="L56" s="63">
        <f>J56/I56</f>
        <v>11.693333333333333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  <c r="T56" s="33">
        <v>100</v>
      </c>
      <c r="U56" s="33">
        <v>100</v>
      </c>
      <c r="V56" s="33">
        <v>100</v>
      </c>
      <c r="W56" s="33">
        <v>100</v>
      </c>
      <c r="X56" s="33">
        <v>100</v>
      </c>
      <c r="Y56" s="6" t="s">
        <v>164</v>
      </c>
    </row>
    <row r="57" spans="1:25">
      <c r="A57" s="6">
        <f t="shared" si="35"/>
        <v>9</v>
      </c>
      <c r="B57" s="56" t="s">
        <v>174</v>
      </c>
      <c r="C57" s="74" t="s">
        <v>191</v>
      </c>
      <c r="D57" s="33"/>
      <c r="E57" s="33">
        <f t="shared" si="36"/>
        <v>42000</v>
      </c>
      <c r="F57" s="33">
        <v>3500</v>
      </c>
      <c r="G57" s="33">
        <v>3500</v>
      </c>
      <c r="H57" s="33">
        <v>3500</v>
      </c>
      <c r="I57" s="33">
        <f t="shared" si="37"/>
        <v>10500</v>
      </c>
      <c r="J57" s="33">
        <v>1245</v>
      </c>
      <c r="K57" s="33">
        <f t="shared" si="38"/>
        <v>9255</v>
      </c>
      <c r="L57" s="63">
        <f t="shared" si="39"/>
        <v>0.11857142857142858</v>
      </c>
      <c r="M57" s="33">
        <v>3500</v>
      </c>
      <c r="N57" s="33">
        <v>3500</v>
      </c>
      <c r="O57" s="33">
        <v>3500</v>
      </c>
      <c r="P57" s="33">
        <v>3500</v>
      </c>
      <c r="Q57" s="33">
        <v>3500</v>
      </c>
      <c r="R57" s="33">
        <v>3500</v>
      </c>
      <c r="S57" s="33">
        <v>3500</v>
      </c>
      <c r="T57" s="33">
        <v>3500</v>
      </c>
      <c r="U57" s="33">
        <v>3500</v>
      </c>
      <c r="V57" s="33">
        <v>3500</v>
      </c>
      <c r="W57" s="33">
        <v>3500</v>
      </c>
      <c r="X57" s="33">
        <v>3500</v>
      </c>
      <c r="Y57" s="6" t="s">
        <v>164</v>
      </c>
    </row>
    <row r="58" spans="1:25">
      <c r="A58" s="6">
        <f t="shared" si="35"/>
        <v>10</v>
      </c>
      <c r="B58" s="56" t="s">
        <v>174</v>
      </c>
      <c r="C58" s="74" t="s">
        <v>217</v>
      </c>
      <c r="D58" s="33"/>
      <c r="E58" s="33">
        <f t="shared" si="36"/>
        <v>1200</v>
      </c>
      <c r="F58" s="33"/>
      <c r="G58" s="33"/>
      <c r="H58" s="33"/>
      <c r="I58" s="33">
        <f t="shared" si="37"/>
        <v>0</v>
      </c>
      <c r="J58" s="33"/>
      <c r="K58" s="33">
        <f t="shared" si="38"/>
        <v>0</v>
      </c>
      <c r="L58" s="63">
        <v>0</v>
      </c>
      <c r="M58" s="63"/>
      <c r="N58" s="63"/>
      <c r="O58" s="63"/>
      <c r="P58" s="20"/>
      <c r="Q58" s="33">
        <v>1200</v>
      </c>
      <c r="R58" s="20"/>
      <c r="S58" s="20"/>
      <c r="T58" s="20"/>
      <c r="U58" s="20"/>
      <c r="V58" s="20"/>
      <c r="W58" s="20"/>
      <c r="X58" s="20"/>
      <c r="Y58" s="6" t="s">
        <v>164</v>
      </c>
    </row>
    <row r="59" spans="1:25">
      <c r="B59" s="56" t="s">
        <v>174</v>
      </c>
      <c r="C59" s="74" t="s">
        <v>192</v>
      </c>
      <c r="D59" s="33"/>
      <c r="E59" s="33">
        <f t="shared" si="36"/>
        <v>7800</v>
      </c>
      <c r="F59" s="33">
        <v>800</v>
      </c>
      <c r="G59" s="33">
        <v>800</v>
      </c>
      <c r="H59" s="33">
        <v>800</v>
      </c>
      <c r="I59" s="33">
        <f t="shared" si="37"/>
        <v>1950</v>
      </c>
      <c r="J59" s="33">
        <v>2012</v>
      </c>
      <c r="K59" s="33">
        <f t="shared" si="38"/>
        <v>-62</v>
      </c>
      <c r="L59" s="63">
        <f t="shared" si="39"/>
        <v>1.0317948717948717</v>
      </c>
      <c r="M59" s="33">
        <v>650</v>
      </c>
      <c r="N59" s="33">
        <v>650</v>
      </c>
      <c r="O59" s="33">
        <v>650</v>
      </c>
      <c r="P59" s="33">
        <v>650</v>
      </c>
      <c r="Q59" s="33">
        <v>650</v>
      </c>
      <c r="R59" s="33">
        <v>650</v>
      </c>
      <c r="S59" s="33">
        <v>650</v>
      </c>
      <c r="T59" s="33">
        <v>650</v>
      </c>
      <c r="U59" s="33">
        <v>650</v>
      </c>
      <c r="V59" s="33">
        <v>650</v>
      </c>
      <c r="W59" s="33">
        <v>650</v>
      </c>
      <c r="X59" s="33">
        <v>650</v>
      </c>
      <c r="Y59" s="6" t="s">
        <v>164</v>
      </c>
    </row>
    <row r="60" spans="1:25" ht="15.75">
      <c r="B60" s="56" t="s">
        <v>174</v>
      </c>
      <c r="C60" s="34" t="s">
        <v>214</v>
      </c>
      <c r="D60" s="33"/>
      <c r="E60" s="33">
        <v>0</v>
      </c>
      <c r="F60" s="33">
        <v>0</v>
      </c>
      <c r="G60" s="33">
        <v>0</v>
      </c>
      <c r="H60" s="33">
        <v>0</v>
      </c>
      <c r="I60" s="33">
        <f t="shared" ref="I60:I61" si="41">SUM(M60:O60)</f>
        <v>0</v>
      </c>
      <c r="J60" s="33">
        <v>-5841</v>
      </c>
      <c r="K60" s="33">
        <f t="shared" ref="K60:K61" si="42">I60-J60</f>
        <v>5841</v>
      </c>
      <c r="L60" s="63">
        <v>0</v>
      </c>
      <c r="M60" s="63"/>
      <c r="N60" s="63"/>
      <c r="O60" s="63"/>
      <c r="P60" s="20"/>
      <c r="Q60" s="20"/>
      <c r="R60" s="20"/>
      <c r="S60" s="20"/>
      <c r="T60" s="20"/>
      <c r="U60" s="20"/>
      <c r="V60" s="20"/>
      <c r="W60" s="20"/>
      <c r="X60" s="20"/>
      <c r="Y60" s="6" t="s">
        <v>178</v>
      </c>
    </row>
    <row r="61" spans="1:25" ht="15.75">
      <c r="B61" s="56" t="s">
        <v>174</v>
      </c>
      <c r="C61" s="34" t="s">
        <v>216</v>
      </c>
      <c r="D61" s="33"/>
      <c r="E61" s="33">
        <f t="shared" si="36"/>
        <v>0</v>
      </c>
      <c r="F61" s="33">
        <v>0</v>
      </c>
      <c r="G61" s="33">
        <v>0</v>
      </c>
      <c r="H61" s="33">
        <v>0</v>
      </c>
      <c r="I61" s="33">
        <f t="shared" si="41"/>
        <v>0</v>
      </c>
      <c r="J61" s="33">
        <v>1258</v>
      </c>
      <c r="K61" s="33">
        <f t="shared" si="42"/>
        <v>-1258</v>
      </c>
      <c r="L61" s="63">
        <v>0</v>
      </c>
      <c r="M61" s="63"/>
      <c r="N61" s="63"/>
      <c r="O61" s="63"/>
      <c r="P61" s="20"/>
      <c r="Q61" s="20"/>
      <c r="R61" s="20"/>
      <c r="S61" s="20"/>
      <c r="T61" s="20"/>
      <c r="U61" s="20"/>
      <c r="V61" s="20"/>
      <c r="W61" s="20"/>
      <c r="X61" s="20"/>
      <c r="Y61" s="6" t="s">
        <v>164</v>
      </c>
    </row>
    <row r="62" spans="1:25" ht="15.75" hidden="1">
      <c r="B62" s="56" t="s">
        <v>174</v>
      </c>
      <c r="C62" s="86" t="s">
        <v>193</v>
      </c>
      <c r="D62" s="58"/>
      <c r="E62" s="58" t="e">
        <f>SUM(E63:E65)</f>
        <v>#VALUE!</v>
      </c>
      <c r="F62" s="58" t="e">
        <f>SUM(F63:F65)</f>
        <v>#VALUE!</v>
      </c>
      <c r="G62" s="58" t="e">
        <f>SUM(G63:G65)</f>
        <v>#VALUE!</v>
      </c>
      <c r="H62" s="58" t="e">
        <f>SUM(H63:H65)</f>
        <v>#VALUE!</v>
      </c>
      <c r="I62" s="58"/>
      <c r="J62" s="58"/>
      <c r="K62" s="33">
        <f t="shared" si="38"/>
        <v>0</v>
      </c>
      <c r="L62" s="63" t="e">
        <f t="shared" si="39"/>
        <v>#DIV/0!</v>
      </c>
      <c r="M62" s="63"/>
      <c r="N62" s="63"/>
      <c r="O62" s="63"/>
      <c r="P62" s="14" t="e">
        <f t="shared" ref="P62:X62" si="43">SUM(P63:P65)</f>
        <v>#VALUE!</v>
      </c>
      <c r="Q62" s="14" t="e">
        <f t="shared" si="43"/>
        <v>#VALUE!</v>
      </c>
      <c r="R62" s="14" t="e">
        <f t="shared" si="43"/>
        <v>#VALUE!</v>
      </c>
      <c r="S62" s="14" t="e">
        <f t="shared" si="43"/>
        <v>#VALUE!</v>
      </c>
      <c r="T62" s="14" t="e">
        <f t="shared" si="43"/>
        <v>#VALUE!</v>
      </c>
      <c r="U62" s="14" t="e">
        <f t="shared" si="43"/>
        <v>#VALUE!</v>
      </c>
      <c r="V62" s="14" t="e">
        <f t="shared" si="43"/>
        <v>#VALUE!</v>
      </c>
      <c r="W62" s="14" t="e">
        <f t="shared" si="43"/>
        <v>#VALUE!</v>
      </c>
      <c r="X62" s="14" t="e">
        <f t="shared" si="43"/>
        <v>#VALUE!</v>
      </c>
    </row>
    <row r="63" spans="1:25" hidden="1">
      <c r="A63" s="6">
        <v>1</v>
      </c>
      <c r="B63" s="56" t="s">
        <v>174</v>
      </c>
      <c r="C63" s="87" t="s">
        <v>177</v>
      </c>
      <c r="D63" s="62"/>
      <c r="E63" s="62" t="e">
        <f t="shared" ref="E63:E65" si="44">SUM(F63:X63)</f>
        <v>#VALUE!</v>
      </c>
      <c r="F63" s="88" t="e">
        <f>SUMIF('[1]План ЗП'!$A$8:$A$1071,' витрати'!$B63,'[1]План ЗП'!DH$8:DH$1071)</f>
        <v>#VALUE!</v>
      </c>
      <c r="G63" s="88" t="e">
        <f>SUMIF('[1]План ЗП'!$A$8:$A$1071,' витрати'!$B63,'[1]План ЗП'!DI$8:DI$1071)</f>
        <v>#VALUE!</v>
      </c>
      <c r="H63" s="88" t="e">
        <f>SUMIF('[1]План ЗП'!$A$8:$A$1071,' витрати'!$B63,'[1]План ЗП'!DJ$8:DJ$1071)</f>
        <v>#VALUE!</v>
      </c>
      <c r="I63" s="88"/>
      <c r="J63" s="88"/>
      <c r="K63" s="33">
        <f t="shared" si="38"/>
        <v>0</v>
      </c>
      <c r="L63" s="63" t="e">
        <f t="shared" si="39"/>
        <v>#DIV/0!</v>
      </c>
      <c r="M63" s="63"/>
      <c r="N63" s="63"/>
      <c r="O63" s="63"/>
      <c r="P63" s="23" t="e">
        <f>SUMIF('[1]План ЗП'!$A$8:$A$1071,' витрати'!$B63,'[1]План ЗП'!DK$8:DK$1071)</f>
        <v>#VALUE!</v>
      </c>
      <c r="Q63" s="23" t="e">
        <f>SUMIF('[1]План ЗП'!$A$8:$A$1071,' витрати'!$B63,'[1]План ЗП'!DL$8:DL$1071)</f>
        <v>#VALUE!</v>
      </c>
      <c r="R63" s="23" t="e">
        <f>SUMIF('[1]План ЗП'!$A$8:$A$1071,' витрати'!$B63,'[1]План ЗП'!DM$8:DM$1071)</f>
        <v>#VALUE!</v>
      </c>
      <c r="S63" s="23" t="e">
        <f>SUMIF('[1]План ЗП'!$A$8:$A$1071,' витрати'!$B63,'[1]План ЗП'!DN$8:DN$1071)</f>
        <v>#VALUE!</v>
      </c>
      <c r="T63" s="23" t="e">
        <f>SUMIF('[1]План ЗП'!$A$8:$A$1071,' витрати'!$B63,'[1]План ЗП'!DO$8:DO$1071)</f>
        <v>#VALUE!</v>
      </c>
      <c r="U63" s="23" t="e">
        <f>SUMIF('[1]План ЗП'!$A$8:$A$1071,' витрати'!$B63,'[1]План ЗП'!DP$8:DP$1071)</f>
        <v>#VALUE!</v>
      </c>
      <c r="V63" s="23" t="e">
        <f>SUMIF('[1]План ЗП'!$A$8:$A$1071,' витрати'!$B63,'[1]План ЗП'!DQ$8:DQ$1071)</f>
        <v>#VALUE!</v>
      </c>
      <c r="W63" s="23" t="e">
        <f>SUMIF('[1]План ЗП'!$A$8:$A$1071,' витрати'!$B63,'[1]План ЗП'!DR$8:DR$1071)</f>
        <v>#VALUE!</v>
      </c>
      <c r="X63" s="23" t="e">
        <f>SUMIF('[1]План ЗП'!$A$8:$A$1071,' витрати'!$B63,'[1]План ЗП'!DS$8:DS$1071)</f>
        <v>#VALUE!</v>
      </c>
      <c r="Y63" s="6" t="s">
        <v>178</v>
      </c>
    </row>
    <row r="64" spans="1:25" hidden="1">
      <c r="A64" s="6">
        <f t="shared" ref="A64:A65" si="45">A63+1</f>
        <v>2</v>
      </c>
      <c r="B64" s="56" t="s">
        <v>174</v>
      </c>
      <c r="C64" s="87" t="s">
        <v>179</v>
      </c>
      <c r="D64" s="62"/>
      <c r="E64" s="62" t="e">
        <f t="shared" si="44"/>
        <v>#VALUE!</v>
      </c>
      <c r="F64" s="88" t="e">
        <f>SUMIF('[1]План ЗП'!$A$8:$A$1071,' витрати'!$B64,'[1]План ЗП'!DU$8:DU$1071)</f>
        <v>#VALUE!</v>
      </c>
      <c r="G64" s="88" t="e">
        <f>SUMIF('[1]План ЗП'!$A$8:$A$1071,' витрати'!$B64,'[1]План ЗП'!DV$8:DV$1071)</f>
        <v>#VALUE!</v>
      </c>
      <c r="H64" s="88" t="e">
        <f>SUMIF('[1]План ЗП'!$A$8:$A$1071,' витрати'!$B64,'[1]План ЗП'!DW$8:DW$1071)</f>
        <v>#VALUE!</v>
      </c>
      <c r="I64" s="88"/>
      <c r="J64" s="88"/>
      <c r="K64" s="33">
        <f t="shared" si="38"/>
        <v>0</v>
      </c>
      <c r="L64" s="63" t="e">
        <f t="shared" si="39"/>
        <v>#DIV/0!</v>
      </c>
      <c r="M64" s="63"/>
      <c r="N64" s="63"/>
      <c r="O64" s="63"/>
      <c r="P64" s="23" t="e">
        <f>SUMIF('[1]План ЗП'!$A$8:$A$1071,' витрати'!$B64,'[1]План ЗП'!DX$8:DX$1071)</f>
        <v>#VALUE!</v>
      </c>
      <c r="Q64" s="23" t="e">
        <f>SUMIF('[1]План ЗП'!$A$8:$A$1071,' витрати'!$B64,'[1]План ЗП'!DY$8:DY$1071)</f>
        <v>#VALUE!</v>
      </c>
      <c r="R64" s="23" t="e">
        <f>SUMIF('[1]План ЗП'!$A$8:$A$1071,' витрати'!$B64,'[1]План ЗП'!DZ$8:DZ$1071)</f>
        <v>#VALUE!</v>
      </c>
      <c r="S64" s="23" t="e">
        <f>SUMIF('[1]План ЗП'!$A$8:$A$1071,' витрати'!$B64,'[1]План ЗП'!EA$8:EA$1071)</f>
        <v>#VALUE!</v>
      </c>
      <c r="T64" s="23" t="e">
        <f>SUMIF('[1]План ЗП'!$A$8:$A$1071,' витрати'!$B64,'[1]План ЗП'!EB$8:EB$1071)</f>
        <v>#VALUE!</v>
      </c>
      <c r="U64" s="23" t="e">
        <f>SUMIF('[1]План ЗП'!$A$8:$A$1071,' витрати'!$B64,'[1]План ЗП'!EC$8:EC$1071)</f>
        <v>#VALUE!</v>
      </c>
      <c r="V64" s="23" t="e">
        <f>SUMIF('[1]План ЗП'!$A$8:$A$1071,' витрати'!$B64,'[1]План ЗП'!ED$8:ED$1071)</f>
        <v>#VALUE!</v>
      </c>
      <c r="W64" s="23" t="e">
        <f>SUMIF('[1]План ЗП'!$A$8:$A$1071,' витрати'!$B64,'[1]План ЗП'!EE$8:EE$1071)</f>
        <v>#VALUE!</v>
      </c>
      <c r="X64" s="23" t="e">
        <f>SUMIF('[1]План ЗП'!$A$8:$A$1071,' витрати'!$B64,'[1]План ЗП'!EF$8:EF$1071)</f>
        <v>#VALUE!</v>
      </c>
      <c r="Y64" s="6" t="s">
        <v>180</v>
      </c>
    </row>
    <row r="65" spans="1:25" hidden="1">
      <c r="A65" s="6">
        <f t="shared" si="45"/>
        <v>3</v>
      </c>
      <c r="B65" s="56" t="s">
        <v>174</v>
      </c>
      <c r="C65" s="89"/>
      <c r="D65" s="62"/>
      <c r="E65" s="62" t="e">
        <f t="shared" si="44"/>
        <v>#DIV/0!</v>
      </c>
      <c r="F65" s="67"/>
      <c r="G65" s="67"/>
      <c r="H65" s="67"/>
      <c r="I65" s="67"/>
      <c r="J65" s="67"/>
      <c r="K65" s="33">
        <f t="shared" si="38"/>
        <v>0</v>
      </c>
      <c r="L65" s="63" t="e">
        <f t="shared" si="39"/>
        <v>#DIV/0!</v>
      </c>
      <c r="M65" s="63"/>
      <c r="N65" s="63"/>
      <c r="O65" s="63"/>
      <c r="P65" s="15"/>
      <c r="Q65" s="15"/>
      <c r="R65" s="15"/>
      <c r="S65" s="15"/>
      <c r="T65" s="15"/>
      <c r="U65" s="15"/>
      <c r="V65" s="15"/>
      <c r="W65" s="15"/>
      <c r="X65" s="15"/>
    </row>
    <row r="66" spans="1:25">
      <c r="B66" s="56" t="s">
        <v>174</v>
      </c>
      <c r="C66" s="74" t="s">
        <v>242</v>
      </c>
      <c r="D66" s="33"/>
      <c r="E66" s="33"/>
      <c r="F66" s="33"/>
      <c r="G66" s="33"/>
      <c r="H66" s="33"/>
      <c r="I66" s="33"/>
      <c r="J66" s="33">
        <v>60150</v>
      </c>
      <c r="K66" s="33">
        <f t="shared" ref="K66" si="46">I66-J66</f>
        <v>-60150</v>
      </c>
      <c r="L66" s="63">
        <v>0</v>
      </c>
      <c r="M66" s="63"/>
      <c r="N66" s="63"/>
      <c r="O66" s="63"/>
      <c r="P66" s="20"/>
      <c r="Q66" s="20"/>
      <c r="R66" s="20"/>
      <c r="S66" s="20"/>
      <c r="T66" s="20"/>
      <c r="U66" s="20"/>
      <c r="V66" s="20"/>
      <c r="W66" s="20"/>
      <c r="X66" s="20"/>
      <c r="Y66" s="6" t="s">
        <v>178</v>
      </c>
    </row>
    <row r="67" spans="1:25" ht="15.75">
      <c r="B67" s="56"/>
      <c r="C67" s="84" t="s">
        <v>29</v>
      </c>
      <c r="D67" s="84"/>
      <c r="E67" s="79">
        <f>SUM(E68:E77)</f>
        <v>559200</v>
      </c>
      <c r="F67" s="78">
        <f t="shared" ref="F67:X67" si="47">SUM(F68:F74)</f>
        <v>36600</v>
      </c>
      <c r="G67" s="78">
        <f t="shared" si="47"/>
        <v>36600</v>
      </c>
      <c r="H67" s="78">
        <f t="shared" si="47"/>
        <v>56600</v>
      </c>
      <c r="I67" s="78">
        <f>SUM(I68:I70)</f>
        <v>119800</v>
      </c>
      <c r="J67" s="78">
        <f t="shared" si="47"/>
        <v>146867</v>
      </c>
      <c r="K67" s="78">
        <f>I67-J67</f>
        <v>-27067</v>
      </c>
      <c r="L67" s="80">
        <f>J67/I67</f>
        <v>1.2259348914858097</v>
      </c>
      <c r="M67" s="31">
        <f t="shared" si="47"/>
        <v>36600</v>
      </c>
      <c r="N67" s="31">
        <f t="shared" si="47"/>
        <v>36600</v>
      </c>
      <c r="O67" s="31">
        <f t="shared" si="47"/>
        <v>36600</v>
      </c>
      <c r="P67" s="31">
        <f t="shared" si="47"/>
        <v>36600</v>
      </c>
      <c r="Q67" s="31">
        <f t="shared" si="47"/>
        <v>36600</v>
      </c>
      <c r="R67" s="31">
        <f t="shared" si="47"/>
        <v>36600</v>
      </c>
      <c r="S67" s="31">
        <f t="shared" si="47"/>
        <v>36600</v>
      </c>
      <c r="T67" s="31">
        <f t="shared" si="47"/>
        <v>36600</v>
      </c>
      <c r="U67" s="31">
        <f t="shared" si="47"/>
        <v>46600</v>
      </c>
      <c r="V67" s="31">
        <f t="shared" si="47"/>
        <v>36600</v>
      </c>
      <c r="W67" s="31">
        <f t="shared" si="47"/>
        <v>146600</v>
      </c>
      <c r="X67" s="31">
        <f t="shared" si="47"/>
        <v>36600</v>
      </c>
    </row>
    <row r="68" spans="1:25" ht="15.75" customHeight="1">
      <c r="B68" s="56"/>
      <c r="C68" s="74" t="s">
        <v>194</v>
      </c>
      <c r="D68" s="33"/>
      <c r="E68" s="33">
        <f t="shared" ref="E68:E70" si="48">SUM(M68:O68,P68:R68,S68:U68,V68:X68)</f>
        <v>120000</v>
      </c>
      <c r="F68" s="33"/>
      <c r="G68" s="33"/>
      <c r="H68" s="33">
        <v>20000</v>
      </c>
      <c r="I68" s="33">
        <f>SUM(S68:U68)</f>
        <v>10000</v>
      </c>
      <c r="J68" s="33">
        <v>0</v>
      </c>
      <c r="K68" s="33">
        <v>0</v>
      </c>
      <c r="L68" s="63">
        <v>0</v>
      </c>
      <c r="M68" s="33"/>
      <c r="N68" s="33"/>
      <c r="O68" s="33"/>
      <c r="P68" s="33"/>
      <c r="Q68" s="33"/>
      <c r="R68" s="33"/>
      <c r="S68" s="33"/>
      <c r="T68" s="33"/>
      <c r="U68" s="33">
        <v>10000</v>
      </c>
      <c r="V68" s="33"/>
      <c r="W68" s="33">
        <v>110000</v>
      </c>
      <c r="X68" s="33"/>
      <c r="Y68" s="6" t="s">
        <v>195</v>
      </c>
    </row>
    <row r="69" spans="1:25" ht="15.75" customHeight="1">
      <c r="B69" s="56"/>
      <c r="C69" s="74" t="s">
        <v>196</v>
      </c>
      <c r="D69" s="33"/>
      <c r="E69" s="33">
        <f t="shared" si="48"/>
        <v>360000</v>
      </c>
      <c r="F69" s="33">
        <v>30000</v>
      </c>
      <c r="G69" s="33">
        <v>30000</v>
      </c>
      <c r="H69" s="33">
        <v>30000</v>
      </c>
      <c r="I69" s="33">
        <f t="shared" ref="I69:I70" si="49">SUM(S69:U69)</f>
        <v>90000</v>
      </c>
      <c r="J69" s="33">
        <v>97014</v>
      </c>
      <c r="K69" s="33">
        <f t="shared" ref="K69:K71" si="50">I69-J69</f>
        <v>-7014</v>
      </c>
      <c r="L69" s="63">
        <f t="shared" ref="L69:L70" si="51">J69/I69</f>
        <v>1.0779333333333334</v>
      </c>
      <c r="M69" s="33">
        <v>30000</v>
      </c>
      <c r="N69" s="33">
        <v>30000</v>
      </c>
      <c r="O69" s="33">
        <v>30000</v>
      </c>
      <c r="P69" s="33">
        <v>30000</v>
      </c>
      <c r="Q69" s="33">
        <v>30000</v>
      </c>
      <c r="R69" s="33">
        <v>30000</v>
      </c>
      <c r="S69" s="33">
        <v>30000</v>
      </c>
      <c r="T69" s="33">
        <v>30000</v>
      </c>
      <c r="U69" s="33">
        <v>30000</v>
      </c>
      <c r="V69" s="33">
        <v>30000</v>
      </c>
      <c r="W69" s="33">
        <v>30000</v>
      </c>
      <c r="X69" s="33">
        <v>30000</v>
      </c>
      <c r="Y69" s="6" t="s">
        <v>195</v>
      </c>
    </row>
    <row r="70" spans="1:25">
      <c r="B70" s="56"/>
      <c r="C70" s="74" t="s">
        <v>197</v>
      </c>
      <c r="D70" s="33"/>
      <c r="E70" s="33">
        <f t="shared" si="48"/>
        <v>79200</v>
      </c>
      <c r="F70" s="33">
        <v>6600</v>
      </c>
      <c r="G70" s="33">
        <v>6600</v>
      </c>
      <c r="H70" s="33">
        <v>6600</v>
      </c>
      <c r="I70" s="33">
        <f t="shared" si="49"/>
        <v>19800</v>
      </c>
      <c r="J70" s="33">
        <v>33351</v>
      </c>
      <c r="K70" s="33">
        <f t="shared" si="50"/>
        <v>-13551</v>
      </c>
      <c r="L70" s="63">
        <f t="shared" si="51"/>
        <v>1.6843939393939393</v>
      </c>
      <c r="M70" s="33">
        <v>6600</v>
      </c>
      <c r="N70" s="33">
        <v>6600</v>
      </c>
      <c r="O70" s="33">
        <v>6600</v>
      </c>
      <c r="P70" s="33">
        <v>6600</v>
      </c>
      <c r="Q70" s="33">
        <v>6600</v>
      </c>
      <c r="R70" s="33">
        <v>6600</v>
      </c>
      <c r="S70" s="33">
        <v>6600</v>
      </c>
      <c r="T70" s="33">
        <v>6600</v>
      </c>
      <c r="U70" s="33">
        <v>6600</v>
      </c>
      <c r="V70" s="33">
        <v>6600</v>
      </c>
      <c r="W70" s="33">
        <v>6600</v>
      </c>
      <c r="X70" s="33">
        <v>6600</v>
      </c>
      <c r="Y70" s="6" t="s">
        <v>195</v>
      </c>
    </row>
    <row r="71" spans="1:25" s="9" customFormat="1">
      <c r="B71" s="250"/>
      <c r="C71" s="74" t="s">
        <v>243</v>
      </c>
      <c r="D71" s="33"/>
      <c r="E71" s="33">
        <f t="shared" ref="E71:E74" si="52">SUM(F71:X71)</f>
        <v>0</v>
      </c>
      <c r="F71" s="33"/>
      <c r="G71" s="33"/>
      <c r="H71" s="33"/>
      <c r="I71" s="33">
        <f t="shared" ref="I71:I77" si="53">SUM(P71:R71)</f>
        <v>0</v>
      </c>
      <c r="J71" s="33">
        <v>16502</v>
      </c>
      <c r="K71" s="33">
        <f t="shared" si="50"/>
        <v>-16502</v>
      </c>
      <c r="L71" s="33"/>
      <c r="M71" s="33"/>
      <c r="N71" s="33"/>
      <c r="O71" s="33"/>
      <c r="P71" s="20"/>
      <c r="Q71" s="20"/>
      <c r="R71" s="20"/>
      <c r="S71" s="20"/>
      <c r="T71" s="20"/>
      <c r="U71" s="20"/>
      <c r="V71" s="20"/>
      <c r="W71" s="20"/>
      <c r="X71" s="20"/>
    </row>
    <row r="72" spans="1:25" hidden="1">
      <c r="B72" s="56"/>
      <c r="C72" s="89"/>
      <c r="D72" s="62"/>
      <c r="E72" s="62">
        <f t="shared" si="52"/>
        <v>0</v>
      </c>
      <c r="F72" s="67"/>
      <c r="G72" s="67"/>
      <c r="H72" s="67"/>
      <c r="I72" s="33">
        <f t="shared" si="53"/>
        <v>0</v>
      </c>
      <c r="J72" s="67"/>
      <c r="K72" s="67"/>
      <c r="L72" s="67"/>
      <c r="M72" s="67"/>
      <c r="N72" s="67"/>
      <c r="O72" s="67"/>
      <c r="P72" s="15"/>
      <c r="Q72" s="15"/>
      <c r="R72" s="15"/>
      <c r="S72" s="15"/>
      <c r="T72" s="15"/>
      <c r="U72" s="15"/>
      <c r="V72" s="15"/>
      <c r="W72" s="15"/>
      <c r="X72" s="15"/>
    </row>
    <row r="73" spans="1:25" hidden="1">
      <c r="B73" s="56"/>
      <c r="C73" s="89"/>
      <c r="D73" s="62"/>
      <c r="E73" s="62">
        <f t="shared" si="52"/>
        <v>0</v>
      </c>
      <c r="F73" s="67"/>
      <c r="G73" s="67"/>
      <c r="H73" s="67"/>
      <c r="I73" s="33">
        <f t="shared" si="53"/>
        <v>0</v>
      </c>
      <c r="J73" s="67"/>
      <c r="K73" s="67"/>
      <c r="L73" s="67"/>
      <c r="M73" s="67"/>
      <c r="N73" s="67"/>
      <c r="O73" s="67"/>
      <c r="P73" s="15"/>
      <c r="Q73" s="15"/>
      <c r="R73" s="15"/>
      <c r="S73" s="15"/>
      <c r="T73" s="15"/>
      <c r="U73" s="15"/>
      <c r="V73" s="15"/>
      <c r="W73" s="15"/>
      <c r="X73" s="15"/>
    </row>
    <row r="74" spans="1:25" hidden="1">
      <c r="B74" s="56"/>
      <c r="C74" s="89"/>
      <c r="D74" s="62"/>
      <c r="E74" s="62">
        <f t="shared" si="52"/>
        <v>0</v>
      </c>
      <c r="F74" s="67"/>
      <c r="G74" s="67"/>
      <c r="H74" s="67"/>
      <c r="I74" s="33">
        <f t="shared" si="53"/>
        <v>0</v>
      </c>
      <c r="J74" s="67"/>
      <c r="K74" s="67"/>
      <c r="L74" s="67"/>
      <c r="M74" s="67"/>
      <c r="N74" s="67"/>
      <c r="O74" s="67"/>
      <c r="P74" s="15"/>
      <c r="Q74" s="15"/>
      <c r="R74" s="15"/>
      <c r="S74" s="15"/>
      <c r="T74" s="15"/>
      <c r="U74" s="15"/>
      <c r="V74" s="15"/>
      <c r="W74" s="15"/>
      <c r="X74" s="15"/>
    </row>
    <row r="75" spans="1:25" ht="15.75" hidden="1">
      <c r="B75" s="56"/>
      <c r="C75" s="86" t="s">
        <v>198</v>
      </c>
      <c r="D75" s="86"/>
      <c r="E75" s="58">
        <f t="shared" ref="E75:X75" si="54">E76</f>
        <v>0</v>
      </c>
      <c r="F75" s="58">
        <f t="shared" si="54"/>
        <v>0</v>
      </c>
      <c r="G75" s="58">
        <f t="shared" si="54"/>
        <v>0</v>
      </c>
      <c r="H75" s="58">
        <f t="shared" si="54"/>
        <v>0</v>
      </c>
      <c r="I75" s="33">
        <f t="shared" si="53"/>
        <v>0</v>
      </c>
      <c r="J75" s="58"/>
      <c r="K75" s="58"/>
      <c r="L75" s="58"/>
      <c r="M75" s="58"/>
      <c r="N75" s="58"/>
      <c r="O75" s="58"/>
      <c r="P75" s="14">
        <f t="shared" si="54"/>
        <v>0</v>
      </c>
      <c r="Q75" s="14">
        <f t="shared" si="54"/>
        <v>0</v>
      </c>
      <c r="R75" s="14">
        <f t="shared" si="54"/>
        <v>0</v>
      </c>
      <c r="S75" s="14">
        <f t="shared" si="54"/>
        <v>0</v>
      </c>
      <c r="T75" s="14">
        <f t="shared" si="54"/>
        <v>0</v>
      </c>
      <c r="U75" s="14">
        <f t="shared" si="54"/>
        <v>0</v>
      </c>
      <c r="V75" s="14">
        <f t="shared" si="54"/>
        <v>0</v>
      </c>
      <c r="W75" s="14">
        <f t="shared" si="54"/>
        <v>0</v>
      </c>
      <c r="X75" s="14">
        <f t="shared" si="54"/>
        <v>0</v>
      </c>
    </row>
    <row r="76" spans="1:25" hidden="1">
      <c r="B76" s="56"/>
      <c r="C76" s="90"/>
      <c r="D76" s="62"/>
      <c r="E76" s="62">
        <f>SUM(F76:X76)</f>
        <v>0</v>
      </c>
      <c r="F76" s="67"/>
      <c r="G76" s="67"/>
      <c r="H76" s="67"/>
      <c r="I76" s="33">
        <f t="shared" si="53"/>
        <v>0</v>
      </c>
      <c r="J76" s="67"/>
      <c r="K76" s="67"/>
      <c r="L76" s="67"/>
      <c r="M76" s="67"/>
      <c r="N76" s="67"/>
      <c r="O76" s="67"/>
      <c r="P76" s="15"/>
      <c r="Q76" s="15"/>
      <c r="R76" s="15"/>
      <c r="S76" s="15"/>
      <c r="T76" s="15"/>
      <c r="U76" s="15"/>
      <c r="V76" s="15"/>
      <c r="W76" s="15"/>
      <c r="X76" s="15"/>
    </row>
    <row r="77" spans="1:25" ht="15.75" hidden="1">
      <c r="B77" s="56"/>
      <c r="C77" s="86" t="s">
        <v>199</v>
      </c>
      <c r="D77" s="86"/>
      <c r="E77" s="62">
        <f>SUM(F77:X77)</f>
        <v>0</v>
      </c>
      <c r="F77" s="67"/>
      <c r="G77" s="67"/>
      <c r="H77" s="67"/>
      <c r="I77" s="33">
        <f t="shared" si="53"/>
        <v>0</v>
      </c>
      <c r="J77" s="67"/>
      <c r="K77" s="67"/>
      <c r="L77" s="67"/>
      <c r="M77" s="67"/>
      <c r="N77" s="67"/>
      <c r="O77" s="67"/>
      <c r="P77" s="15"/>
      <c r="Q77" s="15"/>
      <c r="R77" s="15"/>
      <c r="S77" s="15"/>
      <c r="T77" s="15"/>
      <c r="U77" s="15"/>
      <c r="V77" s="15"/>
      <c r="W77" s="15"/>
      <c r="X77" s="15"/>
    </row>
    <row r="78" spans="1:25" ht="15.75">
      <c r="B78" s="56"/>
      <c r="C78" s="68" t="s">
        <v>200</v>
      </c>
      <c r="D78" s="68"/>
      <c r="E78" s="70">
        <f>E32+E34+E48+E67+1</f>
        <v>155282564</v>
      </c>
      <c r="F78" s="69">
        <f>F32+F34+F48+F67+1</f>
        <v>7645913</v>
      </c>
      <c r="G78" s="69">
        <f>G32+G34+G48+G67+1</f>
        <v>7810198</v>
      </c>
      <c r="H78" s="69">
        <f>H32+H34+H48+H67+1</f>
        <v>7038874</v>
      </c>
      <c r="I78" s="69">
        <f>I32+I34+I48+I67</f>
        <v>42325978</v>
      </c>
      <c r="J78" s="70">
        <f>J32+J34+J48+J67-1</f>
        <v>33535075</v>
      </c>
      <c r="K78" s="69">
        <f>I78-J78</f>
        <v>8790903</v>
      </c>
      <c r="L78" s="71">
        <f>J78/I78</f>
        <v>0.79230478738140442</v>
      </c>
      <c r="M78" s="18">
        <f>M32+M34+M48+M67</f>
        <v>11858835</v>
      </c>
      <c r="N78" s="18">
        <f t="shared" ref="N78:O78" si="55">N32+N34+N48+N67</f>
        <v>11479768</v>
      </c>
      <c r="O78" s="18">
        <f t="shared" si="55"/>
        <v>11676098</v>
      </c>
      <c r="P78" s="18">
        <f t="shared" ref="P78:X78" si="56">P32+P34+P48+P67</f>
        <v>12655393</v>
      </c>
      <c r="Q78" s="18">
        <f t="shared" si="56"/>
        <v>12989867</v>
      </c>
      <c r="R78" s="18">
        <f t="shared" si="56"/>
        <v>12431777</v>
      </c>
      <c r="S78" s="18">
        <f t="shared" si="56"/>
        <v>13683075</v>
      </c>
      <c r="T78" s="18">
        <f t="shared" si="56"/>
        <v>14474564</v>
      </c>
      <c r="U78" s="18">
        <f t="shared" si="56"/>
        <v>14168339</v>
      </c>
      <c r="V78" s="18">
        <f t="shared" si="56"/>
        <v>14419948</v>
      </c>
      <c r="W78" s="18">
        <f t="shared" si="56"/>
        <v>11626306</v>
      </c>
      <c r="X78" s="18">
        <f t="shared" si="56"/>
        <v>13818603</v>
      </c>
    </row>
    <row r="79" spans="1:25">
      <c r="B79" s="56"/>
      <c r="C79" s="91"/>
      <c r="D79" s="9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19"/>
      <c r="Q79" s="19"/>
      <c r="R79" s="19"/>
      <c r="S79" s="19"/>
      <c r="T79" s="19"/>
      <c r="U79" s="19"/>
      <c r="V79" s="19"/>
      <c r="W79" s="19"/>
      <c r="X79" s="19"/>
    </row>
    <row r="80" spans="1:25" ht="15.75">
      <c r="B80" s="56"/>
      <c r="C80" s="92" t="s">
        <v>201</v>
      </c>
      <c r="D80" s="92"/>
      <c r="E80" s="93">
        <f>E19-E78</f>
        <v>7570285</v>
      </c>
      <c r="F80" s="93">
        <f t="shared" ref="F80:H80" si="57">F19-F78</f>
        <v>-13899</v>
      </c>
      <c r="G80" s="93">
        <f t="shared" si="57"/>
        <v>-672727</v>
      </c>
      <c r="H80" s="93">
        <f t="shared" si="57"/>
        <v>1176767</v>
      </c>
      <c r="I80" s="93">
        <f>I19-I78</f>
        <v>2409988</v>
      </c>
      <c r="J80" s="93">
        <f>J19-J78-1</f>
        <v>5679123</v>
      </c>
      <c r="K80" s="93">
        <f>K19-K78</f>
        <v>-3269136</v>
      </c>
      <c r="L80" s="94">
        <f>J80/I80</f>
        <v>2.3564943061957155</v>
      </c>
      <c r="M80" s="247">
        <f>M7-M78</f>
        <v>380597</v>
      </c>
      <c r="N80" s="247">
        <f t="shared" ref="N80:X80" si="58">N7-N78</f>
        <v>155144</v>
      </c>
      <c r="O80" s="247">
        <f t="shared" si="58"/>
        <v>1402333</v>
      </c>
      <c r="P80" s="247">
        <f t="shared" si="58"/>
        <v>806427</v>
      </c>
      <c r="Q80" s="247">
        <f t="shared" si="58"/>
        <v>221427</v>
      </c>
      <c r="R80" s="247">
        <f t="shared" si="58"/>
        <v>414906</v>
      </c>
      <c r="S80" s="247">
        <f t="shared" si="58"/>
        <v>643335</v>
      </c>
      <c r="T80" s="247">
        <f t="shared" si="58"/>
        <v>682018</v>
      </c>
      <c r="U80" s="247">
        <f t="shared" si="58"/>
        <v>1084635</v>
      </c>
      <c r="V80" s="247">
        <f t="shared" si="58"/>
        <v>-100650</v>
      </c>
      <c r="W80" s="247">
        <f t="shared" si="58"/>
        <v>1146432</v>
      </c>
      <c r="X80" s="247">
        <f t="shared" si="58"/>
        <v>733672</v>
      </c>
    </row>
    <row r="81" spans="2:24" hidden="1">
      <c r="B81" s="56"/>
      <c r="C81" s="91"/>
      <c r="D81" s="91"/>
      <c r="E81" s="35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19"/>
      <c r="Q81" s="19"/>
      <c r="R81" s="19"/>
      <c r="S81" s="19"/>
      <c r="T81" s="19"/>
      <c r="U81" s="19"/>
      <c r="V81" s="19"/>
      <c r="W81" s="19"/>
      <c r="X81" s="19"/>
    </row>
    <row r="82" spans="2:24" ht="15.75" hidden="1">
      <c r="B82" s="56"/>
      <c r="C82" s="86" t="s">
        <v>202</v>
      </c>
      <c r="D82" s="86"/>
      <c r="E82" s="58">
        <f t="shared" ref="E82:X82" si="59">E83+E84</f>
        <v>0</v>
      </c>
      <c r="F82" s="58">
        <f t="shared" si="59"/>
        <v>0</v>
      </c>
      <c r="G82" s="58">
        <f t="shared" si="59"/>
        <v>0</v>
      </c>
      <c r="H82" s="58">
        <f t="shared" si="59"/>
        <v>0</v>
      </c>
      <c r="I82" s="58"/>
      <c r="J82" s="58"/>
      <c r="K82" s="58"/>
      <c r="L82" s="58"/>
      <c r="M82" s="58"/>
      <c r="N82" s="58"/>
      <c r="O82" s="58"/>
      <c r="P82" s="14">
        <f t="shared" si="59"/>
        <v>0</v>
      </c>
      <c r="Q82" s="14">
        <f t="shared" si="59"/>
        <v>0</v>
      </c>
      <c r="R82" s="14">
        <f t="shared" si="59"/>
        <v>0</v>
      </c>
      <c r="S82" s="14">
        <f t="shared" si="59"/>
        <v>0</v>
      </c>
      <c r="T82" s="14">
        <f t="shared" si="59"/>
        <v>0</v>
      </c>
      <c r="U82" s="14">
        <f t="shared" si="59"/>
        <v>0</v>
      </c>
      <c r="V82" s="14">
        <f t="shared" si="59"/>
        <v>0</v>
      </c>
      <c r="W82" s="14">
        <f t="shared" si="59"/>
        <v>0</v>
      </c>
      <c r="X82" s="14">
        <f t="shared" si="59"/>
        <v>0</v>
      </c>
    </row>
    <row r="83" spans="2:24" hidden="1">
      <c r="B83" s="56"/>
      <c r="C83" s="95" t="s">
        <v>203</v>
      </c>
      <c r="D83" s="95"/>
      <c r="E83" s="62">
        <f>SUM(F83:X83)</f>
        <v>0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15"/>
      <c r="Q83" s="15"/>
      <c r="R83" s="15"/>
      <c r="S83" s="15"/>
      <c r="T83" s="15"/>
      <c r="U83" s="15"/>
      <c r="V83" s="15"/>
      <c r="W83" s="15"/>
      <c r="X83" s="15"/>
    </row>
    <row r="84" spans="2:24" ht="15.75" hidden="1">
      <c r="B84" s="56"/>
      <c r="C84" s="89"/>
      <c r="D84" s="96"/>
      <c r="E84" s="62">
        <f>SUM(F84:X84)</f>
        <v>0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15"/>
      <c r="Q84" s="15"/>
      <c r="R84" s="15"/>
      <c r="S84" s="15"/>
      <c r="T84" s="15"/>
      <c r="U84" s="15"/>
      <c r="V84" s="15"/>
      <c r="W84" s="15"/>
      <c r="X84" s="15"/>
    </row>
    <row r="85" spans="2:24" ht="15.75" hidden="1">
      <c r="B85" s="56"/>
      <c r="C85" s="86" t="s">
        <v>204</v>
      </c>
      <c r="D85" s="86"/>
      <c r="E85" s="58">
        <f t="shared" ref="E85:X85" si="60">E86+E87+E88</f>
        <v>0</v>
      </c>
      <c r="F85" s="58">
        <f t="shared" si="60"/>
        <v>0</v>
      </c>
      <c r="G85" s="58">
        <f t="shared" si="60"/>
        <v>0</v>
      </c>
      <c r="H85" s="58">
        <f t="shared" si="60"/>
        <v>0</v>
      </c>
      <c r="I85" s="58"/>
      <c r="J85" s="58"/>
      <c r="K85" s="58"/>
      <c r="L85" s="58"/>
      <c r="M85" s="58"/>
      <c r="N85" s="58"/>
      <c r="O85" s="58"/>
      <c r="P85" s="14">
        <f t="shared" si="60"/>
        <v>0</v>
      </c>
      <c r="Q85" s="14">
        <f t="shared" si="60"/>
        <v>0</v>
      </c>
      <c r="R85" s="14">
        <f t="shared" si="60"/>
        <v>0</v>
      </c>
      <c r="S85" s="14">
        <f t="shared" si="60"/>
        <v>0</v>
      </c>
      <c r="T85" s="14">
        <f t="shared" si="60"/>
        <v>0</v>
      </c>
      <c r="U85" s="14">
        <f t="shared" si="60"/>
        <v>0</v>
      </c>
      <c r="V85" s="14">
        <f t="shared" si="60"/>
        <v>0</v>
      </c>
      <c r="W85" s="14">
        <f t="shared" si="60"/>
        <v>0</v>
      </c>
      <c r="X85" s="14">
        <f t="shared" si="60"/>
        <v>0</v>
      </c>
    </row>
    <row r="86" spans="2:24" hidden="1">
      <c r="B86" s="56"/>
      <c r="C86" s="89"/>
      <c r="D86" s="97"/>
      <c r="E86" s="35">
        <f>SUM(F86:X86)</f>
        <v>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5"/>
      <c r="Q86" s="15"/>
      <c r="R86" s="15"/>
      <c r="S86" s="15"/>
      <c r="T86" s="15"/>
      <c r="U86" s="15"/>
      <c r="V86" s="15"/>
      <c r="W86" s="15"/>
      <c r="X86" s="15"/>
    </row>
    <row r="87" spans="2:24" ht="15.75" hidden="1">
      <c r="B87" s="56"/>
      <c r="C87" s="89"/>
      <c r="D87" s="96"/>
      <c r="E87" s="35">
        <f>SUM(F87:X87)</f>
        <v>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5"/>
      <c r="Q87" s="15"/>
      <c r="R87" s="15"/>
      <c r="S87" s="15"/>
      <c r="T87" s="15"/>
      <c r="U87" s="15"/>
      <c r="V87" s="15"/>
      <c r="W87" s="15"/>
      <c r="X87" s="15"/>
    </row>
    <row r="88" spans="2:24" hidden="1">
      <c r="B88" s="56"/>
      <c r="C88" s="89"/>
      <c r="D88" s="98"/>
      <c r="E88" s="35">
        <f>SUM(F88:X88)</f>
        <v>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5"/>
      <c r="Q88" s="15"/>
      <c r="R88" s="15"/>
      <c r="S88" s="15"/>
      <c r="T88" s="15"/>
      <c r="U88" s="15"/>
      <c r="V88" s="15"/>
      <c r="W88" s="15"/>
      <c r="X88" s="15"/>
    </row>
    <row r="89" spans="2:24" ht="15.75" hidden="1">
      <c r="B89" s="56"/>
      <c r="C89" s="99" t="s">
        <v>205</v>
      </c>
      <c r="D89" s="99"/>
      <c r="E89" s="100" t="e">
        <f>E80-E82-E85+#REF!+#REF!</f>
        <v>#REF!</v>
      </c>
      <c r="F89" s="100" t="e">
        <f>F80-F82-F85+#REF!+#REF!</f>
        <v>#REF!</v>
      </c>
      <c r="G89" s="100" t="e">
        <f>G80-G82-G85+#REF!+#REF!</f>
        <v>#REF!</v>
      </c>
      <c r="H89" s="100" t="e">
        <f>H80-H82-H85+#REF!+#REF!</f>
        <v>#REF!</v>
      </c>
      <c r="I89" s="100" t="e">
        <f>SUM(F89:H89)</f>
        <v>#REF!</v>
      </c>
      <c r="J89" s="100"/>
      <c r="K89" s="100"/>
      <c r="L89" s="100"/>
      <c r="M89" s="100"/>
      <c r="N89" s="100"/>
      <c r="O89" s="100"/>
      <c r="P89" s="24" t="e">
        <f>P80-P82-P85+#REF!+#REF!</f>
        <v>#REF!</v>
      </c>
      <c r="Q89" s="24" t="e">
        <f>Q80-Q82-Q85+#REF!+#REF!</f>
        <v>#REF!</v>
      </c>
      <c r="R89" s="24" t="e">
        <f>R80-R82-R85+#REF!+#REF!</f>
        <v>#REF!</v>
      </c>
      <c r="S89" s="24" t="e">
        <f>S80-S82-S85+#REF!+#REF!</f>
        <v>#REF!</v>
      </c>
      <c r="T89" s="24" t="e">
        <f>T80-T82-T85+#REF!+#REF!</f>
        <v>#REF!</v>
      </c>
      <c r="U89" s="24" t="e">
        <f>U80-U82-U85+#REF!+#REF!</f>
        <v>#REF!</v>
      </c>
      <c r="V89" s="24" t="e">
        <f>V80-V82-V85+#REF!+#REF!</f>
        <v>#REF!</v>
      </c>
      <c r="W89" s="24" t="e">
        <f>W80-W82-W85+#REF!+#REF!</f>
        <v>#REF!</v>
      </c>
      <c r="X89" s="24" t="e">
        <f>X80-X82-X85+#REF!+#REF!</f>
        <v>#REF!</v>
      </c>
    </row>
    <row r="90" spans="2:24">
      <c r="B90" s="56"/>
      <c r="C90" s="98"/>
      <c r="D90" s="98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19"/>
      <c r="Q90" s="19"/>
      <c r="R90" s="19"/>
      <c r="S90" s="19"/>
      <c r="T90" s="19"/>
      <c r="U90" s="19"/>
      <c r="V90" s="19"/>
      <c r="W90" s="19"/>
      <c r="X90" s="19"/>
    </row>
    <row r="91" spans="2:24" ht="15.75">
      <c r="B91" s="56"/>
      <c r="C91" s="86" t="s">
        <v>206</v>
      </c>
      <c r="D91" s="86"/>
      <c r="E91" s="58">
        <f>SUM(M91:X91)</f>
        <v>1362651</v>
      </c>
      <c r="F91" s="33"/>
      <c r="G91" s="33"/>
      <c r="H91" s="33"/>
      <c r="I91" s="59">
        <f>SUM(S91:U91)</f>
        <v>433799</v>
      </c>
      <c r="J91" s="59">
        <v>1022242</v>
      </c>
      <c r="K91" s="248">
        <f>K30-K89</f>
        <v>1651814</v>
      </c>
      <c r="L91" s="60">
        <f>J91/I91</f>
        <v>2.3564876820831766</v>
      </c>
      <c r="M91" s="20"/>
      <c r="N91" s="20"/>
      <c r="O91" s="33">
        <v>348853</v>
      </c>
      <c r="P91" s="20"/>
      <c r="Q91" s="20"/>
      <c r="R91" s="33">
        <v>259697</v>
      </c>
      <c r="S91" s="20"/>
      <c r="T91" s="20"/>
      <c r="U91" s="33">
        <v>433799</v>
      </c>
      <c r="V91" s="20"/>
      <c r="W91" s="20"/>
      <c r="X91" s="33">
        <v>320302</v>
      </c>
    </row>
    <row r="92" spans="2:24">
      <c r="B92" s="56"/>
      <c r="C92" s="98"/>
      <c r="D92" s="98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15.75">
      <c r="B93" s="56"/>
      <c r="C93" s="99" t="s">
        <v>207</v>
      </c>
      <c r="D93" s="99"/>
      <c r="E93" s="100">
        <f>E80-E91</f>
        <v>6207634</v>
      </c>
      <c r="F93" s="100">
        <f t="shared" ref="F93:J93" si="61">F80-F91</f>
        <v>-13899</v>
      </c>
      <c r="G93" s="100">
        <f t="shared" si="61"/>
        <v>-672727</v>
      </c>
      <c r="H93" s="100">
        <f t="shared" si="61"/>
        <v>1176767</v>
      </c>
      <c r="I93" s="100">
        <f>I80-I91</f>
        <v>1976189</v>
      </c>
      <c r="J93" s="100">
        <f t="shared" si="61"/>
        <v>4656881</v>
      </c>
      <c r="K93" s="93">
        <f>K32-K91</f>
        <v>7163772</v>
      </c>
      <c r="L93" s="94">
        <f>J93/I93</f>
        <v>2.3564957602739414</v>
      </c>
      <c r="M93" s="100">
        <f>M80-M91</f>
        <v>380597</v>
      </c>
      <c r="N93" s="100">
        <f t="shared" ref="N93:X93" si="62">N80-N91</f>
        <v>155144</v>
      </c>
      <c r="O93" s="100">
        <f>O80-O91</f>
        <v>1053480</v>
      </c>
      <c r="P93" s="100">
        <f t="shared" si="62"/>
        <v>806427</v>
      </c>
      <c r="Q93" s="100">
        <f t="shared" si="62"/>
        <v>221427</v>
      </c>
      <c r="R93" s="100">
        <f t="shared" si="62"/>
        <v>155209</v>
      </c>
      <c r="S93" s="100">
        <f t="shared" si="62"/>
        <v>643335</v>
      </c>
      <c r="T93" s="100">
        <f t="shared" si="62"/>
        <v>682018</v>
      </c>
      <c r="U93" s="100">
        <f t="shared" si="62"/>
        <v>650836</v>
      </c>
      <c r="V93" s="100">
        <f>V80-V91+1</f>
        <v>-100649</v>
      </c>
      <c r="W93" s="100">
        <f t="shared" si="62"/>
        <v>1146432</v>
      </c>
      <c r="X93" s="100">
        <f t="shared" si="62"/>
        <v>413370</v>
      </c>
    </row>
    <row r="94" spans="2:24">
      <c r="B94" s="56"/>
      <c r="C94" s="98"/>
      <c r="D94" s="98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19"/>
      <c r="Q94" s="19"/>
      <c r="R94" s="19"/>
      <c r="S94" s="19"/>
      <c r="T94" s="19"/>
      <c r="U94" s="19"/>
      <c r="V94" s="19"/>
      <c r="W94" s="19"/>
      <c r="X94" s="19"/>
    </row>
    <row r="95" spans="2:24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26"/>
      <c r="Q95" s="26"/>
      <c r="R95" s="26"/>
      <c r="S95" s="26"/>
      <c r="T95" s="26"/>
      <c r="U95" s="26"/>
      <c r="V95" s="26"/>
      <c r="W95" s="26"/>
      <c r="X95" s="26"/>
    </row>
    <row r="96" spans="2:24" hidden="1">
      <c r="B96" s="103"/>
      <c r="C96" s="104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7"/>
      <c r="Q96" s="17"/>
      <c r="R96" s="17"/>
      <c r="S96" s="17"/>
      <c r="T96" s="17"/>
      <c r="U96" s="17"/>
      <c r="V96" s="17"/>
      <c r="W96" s="17"/>
      <c r="X96" s="17"/>
    </row>
    <row r="97" spans="2:24" ht="16.5" thickBot="1">
      <c r="B97" s="103"/>
      <c r="C97" s="27" t="s">
        <v>208</v>
      </c>
      <c r="D97" s="105"/>
      <c r="E97" s="105"/>
      <c r="F97" s="105"/>
      <c r="G97" s="101"/>
      <c r="H97" s="101"/>
      <c r="I97" s="101"/>
      <c r="J97" s="101"/>
      <c r="K97" s="101"/>
      <c r="L97" s="101"/>
      <c r="M97" s="101"/>
      <c r="N97" s="101"/>
      <c r="O97" s="101"/>
      <c r="P97" s="17"/>
      <c r="Q97" s="17"/>
      <c r="R97" s="17"/>
      <c r="S97" s="17"/>
      <c r="T97" s="17"/>
      <c r="U97" s="17"/>
      <c r="V97" s="17"/>
      <c r="W97" s="17"/>
      <c r="X97" s="17"/>
    </row>
    <row r="98" spans="2:24" ht="15.75" thickBot="1">
      <c r="B98" s="103"/>
      <c r="C98" s="106" t="s">
        <v>209</v>
      </c>
      <c r="D98" s="106"/>
      <c r="E98" s="107" t="s">
        <v>239</v>
      </c>
      <c r="F98" s="106"/>
      <c r="G98" s="106"/>
      <c r="H98" s="108"/>
      <c r="I98" s="275" t="s">
        <v>248</v>
      </c>
      <c r="J98" s="276"/>
      <c r="K98" s="276"/>
      <c r="L98" s="277"/>
      <c r="M98" s="28"/>
      <c r="N98" s="28"/>
      <c r="O98" s="28"/>
      <c r="P98" s="29"/>
      <c r="Q98" s="28"/>
      <c r="R98" s="28"/>
      <c r="S98" s="28"/>
      <c r="T98" s="28"/>
      <c r="U98" s="28"/>
      <c r="V98" s="28"/>
      <c r="W98" s="28"/>
      <c r="X98" s="28"/>
    </row>
    <row r="99" spans="2:24" ht="15.75" thickBot="1">
      <c r="B99" s="103"/>
      <c r="C99" s="106"/>
      <c r="D99" s="106"/>
      <c r="E99" s="104"/>
      <c r="F99" s="50">
        <v>1</v>
      </c>
      <c r="G99" s="50">
        <v>2</v>
      </c>
      <c r="H99" s="50">
        <v>3</v>
      </c>
      <c r="I99" s="109" t="s">
        <v>94</v>
      </c>
      <c r="J99" s="109" t="s">
        <v>95</v>
      </c>
      <c r="K99" s="109" t="s">
        <v>148</v>
      </c>
      <c r="L99" s="109" t="s">
        <v>149</v>
      </c>
      <c r="M99" s="50">
        <v>1</v>
      </c>
      <c r="N99" s="50">
        <v>2</v>
      </c>
      <c r="O99" s="50">
        <v>3</v>
      </c>
      <c r="P99" s="11">
        <v>4</v>
      </c>
      <c r="Q99" s="11">
        <v>5</v>
      </c>
      <c r="R99" s="11">
        <v>6</v>
      </c>
      <c r="S99" s="11">
        <v>7</v>
      </c>
      <c r="T99" s="11">
        <v>8</v>
      </c>
      <c r="U99" s="11">
        <v>9</v>
      </c>
      <c r="V99" s="11">
        <v>10</v>
      </c>
      <c r="W99" s="11">
        <v>11</v>
      </c>
      <c r="X99" s="11">
        <v>12</v>
      </c>
    </row>
    <row r="100" spans="2:24" ht="15.75" thickBot="1">
      <c r="B100" s="103"/>
      <c r="C100" s="110" t="s">
        <v>210</v>
      </c>
      <c r="D100" s="106"/>
      <c r="E100" s="62">
        <f ca="1">SUM(M100:O100,P100:R100,S100:U100,V100:X100)-1</f>
        <v>100384621</v>
      </c>
      <c r="F100" s="78">
        <f t="shared" ref="F100:X100" si="63">F101+F102+F103</f>
        <v>4739409</v>
      </c>
      <c r="G100" s="78">
        <f>G101+G102+G103-1</f>
        <v>4903193</v>
      </c>
      <c r="H100" s="78">
        <f t="shared" si="63"/>
        <v>4111870</v>
      </c>
      <c r="I100" s="78">
        <f>SUM(I101:I103)</f>
        <v>26437773</v>
      </c>
      <c r="J100" s="78">
        <f>SUM(J101:J103)</f>
        <v>19638624</v>
      </c>
      <c r="K100" s="78">
        <f>I100-J100</f>
        <v>6799149</v>
      </c>
      <c r="L100" s="80">
        <f>J100/I100</f>
        <v>0.74282444289085925</v>
      </c>
      <c r="M100" s="31">
        <f ca="1">M101+M102+M103</f>
        <v>8553300</v>
      </c>
      <c r="N100" s="31">
        <f t="shared" ref="N100:O100" ca="1" si="64">N101+N102+N103</f>
        <v>8173733</v>
      </c>
      <c r="O100" s="31">
        <f t="shared" ca="1" si="64"/>
        <v>7282163</v>
      </c>
      <c r="P100" s="31">
        <f>P101+P102+P103</f>
        <v>8261458</v>
      </c>
      <c r="Q100" s="31">
        <f t="shared" si="63"/>
        <v>7697132</v>
      </c>
      <c r="R100" s="31">
        <f t="shared" si="63"/>
        <v>7139042</v>
      </c>
      <c r="S100" s="31">
        <f t="shared" si="63"/>
        <v>8390340</v>
      </c>
      <c r="T100" s="31">
        <f t="shared" si="63"/>
        <v>9181829</v>
      </c>
      <c r="U100" s="31">
        <f t="shared" si="63"/>
        <v>8865604</v>
      </c>
      <c r="V100" s="31">
        <f t="shared" si="63"/>
        <v>9127213</v>
      </c>
      <c r="W100" s="31">
        <f t="shared" si="63"/>
        <v>7158370</v>
      </c>
      <c r="X100" s="31">
        <f t="shared" si="63"/>
        <v>10554438</v>
      </c>
    </row>
    <row r="101" spans="2:24" ht="15.75" thickBot="1">
      <c r="B101" s="103" t="s">
        <v>170</v>
      </c>
      <c r="C101" s="106" t="s">
        <v>210</v>
      </c>
      <c r="D101" s="106"/>
      <c r="E101" s="62">
        <f t="shared" ref="E101:E106" ca="1" si="65">SUM(M101:O101,P101:R101,S101:U101,V101:X101)</f>
        <v>57264968</v>
      </c>
      <c r="F101" s="33">
        <f>SUMIF($Y$21:$Y$77,$B101,$F$21:$F$77)</f>
        <v>816067</v>
      </c>
      <c r="G101" s="33">
        <f>SUMIF($Y$21:$Y$77,$B101,$G$21:$G$77)</f>
        <v>850667</v>
      </c>
      <c r="H101" s="33">
        <f>SUMIF($Y$21:$Y$77,$B101,$H$21:$H$77)</f>
        <v>768333</v>
      </c>
      <c r="I101" s="85">
        <f>SUM(S101:U101)</f>
        <v>14798805</v>
      </c>
      <c r="J101" s="33">
        <v>10484667</v>
      </c>
      <c r="K101" s="85">
        <f t="shared" ref="K101:K108" si="66">I101-J101</f>
        <v>4314138</v>
      </c>
      <c r="L101" s="63">
        <f>J101/I101</f>
        <v>0.7084806509714805</v>
      </c>
      <c r="M101" s="20">
        <f ca="1">SUMIF($Y$21:$Y$77,$B101,M21:M70)</f>
        <v>5187616</v>
      </c>
      <c r="N101" s="20">
        <f ca="1">SUMIF($Y$21:$Y$77,$B101,N21:N70)</f>
        <v>4801049</v>
      </c>
      <c r="O101" s="20">
        <f ca="1">SUMIF($Y$21:$Y$77,$B101,O21:O70)</f>
        <v>3845813</v>
      </c>
      <c r="P101" s="20">
        <f>SUMIF($Y$21:$Y$77,$B101,$P$21:$P$77)</f>
        <v>4791575</v>
      </c>
      <c r="Q101" s="20">
        <f>SUMIF($Y$21:$Y$77,$B101,$Q$21:$Q$77)</f>
        <v>3787415</v>
      </c>
      <c r="R101" s="20">
        <f>SUMIF($Y$21:$Y$77,$B101,$R$21:$R$77)</f>
        <v>3453058</v>
      </c>
      <c r="S101" s="20">
        <f>SUMIF($Y$21:$Y$77,$B101,$S$21:$S$77)</f>
        <v>4159056</v>
      </c>
      <c r="T101" s="20">
        <f>SUMIF($Y$21:$Y$77,$B101,$T$21:$T$77)</f>
        <v>5520495</v>
      </c>
      <c r="U101" s="20">
        <f>SUMIF($Y$21:$Y$77,$B101,$U$21:$U$77)</f>
        <v>5119254</v>
      </c>
      <c r="V101" s="20">
        <f>SUMIF($Y$21:$Y$77,$B101,$V$21:$V$77)</f>
        <v>5754863</v>
      </c>
      <c r="W101" s="20">
        <f>SUMIF($Y$21:$Y$77,$B101,$W$21:$W$77)</f>
        <v>3661020</v>
      </c>
      <c r="X101" s="20">
        <f>SUMIF($Y$21:$Y$77,$B101,$X$21:$X$77)</f>
        <v>7183754</v>
      </c>
    </row>
    <row r="102" spans="2:24" ht="15.75" thickBot="1">
      <c r="B102" s="103" t="s">
        <v>161</v>
      </c>
      <c r="C102" s="106" t="s">
        <v>211</v>
      </c>
      <c r="D102" s="106"/>
      <c r="E102" s="62">
        <f t="shared" ca="1" si="65"/>
        <v>15214336</v>
      </c>
      <c r="F102" s="33">
        <f>SUMIF($Y$21:$Y$77,$B102,$F$21:$F$77)</f>
        <v>1722242</v>
      </c>
      <c r="G102" s="33">
        <f>SUMIF($Y$21:$Y$77,$B102,$G$21:$G$77)</f>
        <v>1070228</v>
      </c>
      <c r="H102" s="33">
        <f>SUMIF($Y$21:$Y$77,$B102,$H$21:$H$77)</f>
        <v>1039742</v>
      </c>
      <c r="I102" s="85">
        <f t="shared" ref="I102:I107" si="67">SUM(S102:U102)</f>
        <v>3500001</v>
      </c>
      <c r="J102" s="33">
        <v>2084189</v>
      </c>
      <c r="K102" s="85">
        <f t="shared" si="66"/>
        <v>1415812</v>
      </c>
      <c r="L102" s="63">
        <f t="shared" ref="L102:L107" si="68">J102/I102</f>
        <v>0.59548240129074248</v>
      </c>
      <c r="M102" s="20">
        <f ca="1">SUMIF($Y$21:$Y$77,$B102,M21:M71)</f>
        <v>1422667</v>
      </c>
      <c r="N102" s="20">
        <f ca="1">SUMIF($Y$21:$Y$77,$B102,N21:N71)</f>
        <v>1416667</v>
      </c>
      <c r="O102" s="20">
        <f ca="1">SUMIF($Y$21:$Y$77,$B102,O21:O70)</f>
        <v>1333333</v>
      </c>
      <c r="P102" s="20">
        <f>SUMIF($Y$21:$Y$77,$B102,$P$21:$P$77)</f>
        <v>1250000</v>
      </c>
      <c r="Q102" s="20">
        <f>SUMIF($Y$21:$Y$77,$B102,$Q$21:$Q$77)</f>
        <v>1250000</v>
      </c>
      <c r="R102" s="20">
        <f>SUMIF($Y$21:$Y$77,$B102,$R$21:$R$77)</f>
        <v>1166667</v>
      </c>
      <c r="S102" s="20">
        <f>SUMIF($Y$21:$Y$77,$B102,$S$21:$S$77)</f>
        <v>1166667</v>
      </c>
      <c r="T102" s="20">
        <f>SUMIF($Y$21:$Y$77,$B102,$T$21:$T$77)</f>
        <v>1166667</v>
      </c>
      <c r="U102" s="20">
        <f>SUMIF($Y$21:$Y$77,$B102,$U$21:$U$77)</f>
        <v>1166667</v>
      </c>
      <c r="V102" s="20">
        <f>SUMIF($Y$21:$Y$77,$B102,$V$21:$V$77)</f>
        <v>1166667</v>
      </c>
      <c r="W102" s="20">
        <f>SUMIF($Y$21:$Y$77,$B102,$W$21:$W$77)</f>
        <v>1291667</v>
      </c>
      <c r="X102" s="20">
        <f>SUMIF($Y$21:$Y$77,$B102,$X$21:$X$77)</f>
        <v>1416667</v>
      </c>
    </row>
    <row r="103" spans="2:24" ht="15.75" thickBot="1">
      <c r="B103" s="103" t="s">
        <v>164</v>
      </c>
      <c r="C103" s="106" t="s">
        <v>212</v>
      </c>
      <c r="D103" s="106"/>
      <c r="E103" s="62">
        <f ca="1">SUM(M103:O103,P103:R103,S103:U103,V103:X103)-1</f>
        <v>27905317</v>
      </c>
      <c r="F103" s="33">
        <f>SUMIF($Y$21:$Y$77,$B103,$F$21:$F$77)</f>
        <v>2201100</v>
      </c>
      <c r="G103" s="33">
        <f>SUMIF($Y$21:$Y$77,$B103,$G$21:$G$77)</f>
        <v>2982299</v>
      </c>
      <c r="H103" s="33">
        <f>SUMIF($Y$21:$Y$77,$B103,$H$21:$H$77)</f>
        <v>2303795</v>
      </c>
      <c r="I103" s="85">
        <f t="shared" si="67"/>
        <v>8138967</v>
      </c>
      <c r="J103" s="33">
        <v>7069768</v>
      </c>
      <c r="K103" s="85">
        <f t="shared" si="66"/>
        <v>1069199</v>
      </c>
      <c r="L103" s="63">
        <f t="shared" si="68"/>
        <v>0.8686321003635965</v>
      </c>
      <c r="M103" s="20">
        <f ca="1">SUMIF($Y$21:$Y$77,$B103,M21:M72)</f>
        <v>1943017</v>
      </c>
      <c r="N103" s="20">
        <f ca="1">SUMIF($Y$21:$Y$77,$B103,N21:N72)</f>
        <v>1956017</v>
      </c>
      <c r="O103" s="20">
        <f ca="1">SUMIF($Y$21:$Y$77,$B103,O21:O70)</f>
        <v>2103017</v>
      </c>
      <c r="P103" s="20">
        <f>SUMIF($Y$21:$Y$77,$B103,$P$21:$P$77)</f>
        <v>2219883</v>
      </c>
      <c r="Q103" s="20">
        <f>SUMIF($Y$21:$Y$77,$B103,$Q$21:$Q$77)</f>
        <v>2659717</v>
      </c>
      <c r="R103" s="20">
        <f>SUMIF($Y$21:$Y$77,$B103,$R$21:$R$77)</f>
        <v>2519317</v>
      </c>
      <c r="S103" s="20">
        <f>SUMIF($Y$21:$Y$77,$B103,$S$21:$S$77)</f>
        <v>3064617</v>
      </c>
      <c r="T103" s="20">
        <f>SUMIF($Y$21:$Y$77,$B103,$T$21:$T$77)</f>
        <v>2494667</v>
      </c>
      <c r="U103" s="20">
        <f>SUMIF($Y$21:$Y$77,$B103,$U$21:$U$77)</f>
        <v>2579683</v>
      </c>
      <c r="V103" s="20">
        <f>SUMIF($Y$21:$Y$77,$B103,$V$21:$V$77)</f>
        <v>2205683</v>
      </c>
      <c r="W103" s="20">
        <f>SUMIF($Y$21:$Y$77,$B103,$W$21:$W$77)</f>
        <v>2205683</v>
      </c>
      <c r="X103" s="20">
        <f>SUMIF($Y$21:$Y$77,$B103,$X$21:$X$77)</f>
        <v>1954017</v>
      </c>
    </row>
    <row r="104" spans="2:24" ht="15.75" thickBot="1">
      <c r="B104" s="103" t="s">
        <v>178</v>
      </c>
      <c r="C104" s="111" t="s">
        <v>68</v>
      </c>
      <c r="D104" s="106"/>
      <c r="E104" s="62">
        <f ca="1">SUM(M104:O104,P104:R104,S104:U104,V104:X104)-1</f>
        <v>43675351</v>
      </c>
      <c r="F104" s="33">
        <f>F30+F35+F49</f>
        <v>2346286</v>
      </c>
      <c r="G104" s="33">
        <f>G30+G35+G49</f>
        <v>2346286</v>
      </c>
      <c r="H104" s="33">
        <f>H30+H35+H49</f>
        <v>2346286</v>
      </c>
      <c r="I104" s="85">
        <f t="shared" si="67"/>
        <v>12685500</v>
      </c>
      <c r="J104" s="33">
        <v>11062065</v>
      </c>
      <c r="K104" s="85">
        <f t="shared" si="66"/>
        <v>1623435</v>
      </c>
      <c r="L104" s="63">
        <f t="shared" si="68"/>
        <v>0.87202435851956961</v>
      </c>
      <c r="M104" s="20">
        <f ca="1">SUMIF($Y$21:$Y$77,$B104,M21:M73)</f>
        <v>2600000</v>
      </c>
      <c r="N104" s="20">
        <f ca="1">SUMIF($Y$21:$Y$77,$B104,N21:N73)</f>
        <v>2600000</v>
      </c>
      <c r="O104" s="20">
        <f>O30+O35+O49</f>
        <v>3491900</v>
      </c>
      <c r="P104" s="20">
        <f>P30+P35+P49-1</f>
        <v>3491899</v>
      </c>
      <c r="Q104" s="20">
        <f t="shared" ref="Q104:X104" si="69">Q30+Q35+Q49</f>
        <v>4228500</v>
      </c>
      <c r="R104" s="20">
        <f t="shared" si="69"/>
        <v>4228500</v>
      </c>
      <c r="S104" s="20">
        <f t="shared" si="69"/>
        <v>4228500</v>
      </c>
      <c r="T104" s="20">
        <f t="shared" si="69"/>
        <v>4228500</v>
      </c>
      <c r="U104" s="20">
        <f t="shared" si="69"/>
        <v>4228500</v>
      </c>
      <c r="V104" s="20">
        <f t="shared" si="69"/>
        <v>4228500</v>
      </c>
      <c r="W104" s="20">
        <f t="shared" si="69"/>
        <v>3491903</v>
      </c>
      <c r="X104" s="20">
        <f t="shared" si="69"/>
        <v>2628650</v>
      </c>
    </row>
    <row r="105" spans="2:24" ht="15.75" thickBot="1">
      <c r="B105" s="103" t="s">
        <v>180</v>
      </c>
      <c r="C105" s="111" t="s">
        <v>70</v>
      </c>
      <c r="D105" s="106"/>
      <c r="E105" s="62">
        <f ca="1">SUM(M105:O105,P105:R105,S105:U105,V105:X105)</f>
        <v>9494678</v>
      </c>
      <c r="F105" s="33">
        <f>F31+F36+F50+F70</f>
        <v>513282</v>
      </c>
      <c r="G105" s="33">
        <f>G31+G36+G50+G70</f>
        <v>513282</v>
      </c>
      <c r="H105" s="33">
        <f>H31+H36+H50+H70</f>
        <v>513282</v>
      </c>
      <c r="I105" s="85">
        <f t="shared" si="67"/>
        <v>2790600</v>
      </c>
      <c r="J105" s="33">
        <v>2378388</v>
      </c>
      <c r="K105" s="85">
        <f t="shared" si="66"/>
        <v>412212</v>
      </c>
      <c r="L105" s="63">
        <f t="shared" si="68"/>
        <v>0.85228552999354978</v>
      </c>
      <c r="M105" s="20">
        <f ca="1">SUMIF($Y$21:$Y$77,$B105,M21:M74)</f>
        <v>572000</v>
      </c>
      <c r="N105" s="20">
        <f ca="1">SUMIF($Y$21:$Y$77,$B105,N21:N74)</f>
        <v>572000</v>
      </c>
      <c r="O105" s="20">
        <f ca="1">SUMIF($Y$21:$Y$77,$B105,O21:O73)</f>
        <v>768000</v>
      </c>
      <c r="P105" s="20">
        <f>P31+P36+P50</f>
        <v>768000</v>
      </c>
      <c r="Q105" s="20">
        <f t="shared" ref="Q105:X105" si="70">Q31+Q36+Q50</f>
        <v>930200</v>
      </c>
      <c r="R105" s="20">
        <f t="shared" si="70"/>
        <v>930200</v>
      </c>
      <c r="S105" s="20">
        <f t="shared" si="70"/>
        <v>930200</v>
      </c>
      <c r="T105" s="20">
        <f t="shared" si="70"/>
        <v>930200</v>
      </c>
      <c r="U105" s="20">
        <f t="shared" si="70"/>
        <v>930200</v>
      </c>
      <c r="V105" s="20">
        <f t="shared" si="70"/>
        <v>930200</v>
      </c>
      <c r="W105" s="20">
        <f t="shared" si="70"/>
        <v>731998</v>
      </c>
      <c r="X105" s="20">
        <f t="shared" si="70"/>
        <v>501480</v>
      </c>
    </row>
    <row r="106" spans="2:24" ht="15.75" thickBot="1">
      <c r="B106" s="103" t="s">
        <v>174</v>
      </c>
      <c r="C106" s="111" t="s">
        <v>71</v>
      </c>
      <c r="D106" s="106"/>
      <c r="E106" s="62">
        <f t="shared" ca="1" si="65"/>
        <v>1168720</v>
      </c>
      <c r="F106" s="33">
        <f>SUMIF($Y$21:$Y$77,$B106,$F$21:$F$77)</f>
        <v>16935</v>
      </c>
      <c r="G106" s="33">
        <f>SUMIF($Y$21:$Y$77,$B106,$G$21:$G$77)</f>
        <v>17435</v>
      </c>
      <c r="H106" s="33">
        <f>SUMIF($Y$21:$Y$77,$B106,$H$21:$H$77)</f>
        <v>17435</v>
      </c>
      <c r="I106" s="85">
        <f t="shared" si="67"/>
        <v>292305</v>
      </c>
      <c r="J106" s="33">
        <v>309132</v>
      </c>
      <c r="K106" s="85">
        <f t="shared" si="66"/>
        <v>-16827</v>
      </c>
      <c r="L106" s="63">
        <f t="shared" si="68"/>
        <v>1.0575665828501053</v>
      </c>
      <c r="M106" s="20">
        <f ca="1">SUMIF($Y$21:$Y$77,$B106,M21:M70)</f>
        <v>96935</v>
      </c>
      <c r="N106" s="20">
        <f ca="1">SUMIF($Y$21:$Y$77,$B106,N21:N75)</f>
        <v>97435</v>
      </c>
      <c r="O106" s="20">
        <f>SUMIF($Y$21:$Y$77,$B106,$P$21:$P$77)</f>
        <v>97435</v>
      </c>
      <c r="P106" s="20">
        <f>SUMIF($Y$21:$Y$77,$B106,$P$21:$P$77)</f>
        <v>97435</v>
      </c>
      <c r="Q106" s="20">
        <f>SUMIF($Y$21:$Y$77,$B106,$Q$21:$Q$77)</f>
        <v>97435</v>
      </c>
      <c r="R106" s="20">
        <f>SUMIF($Y$21:$Y$77,$B106,$R$21:$R$77)</f>
        <v>97435</v>
      </c>
      <c r="S106" s="20">
        <f>SUMIF($Y$21:$Y$77,$B106,$S$21:$S$77)</f>
        <v>97435</v>
      </c>
      <c r="T106" s="20">
        <f>SUMIF($Y$21:$Y$77,$B106,$T$21:$T$77)</f>
        <v>97435</v>
      </c>
      <c r="U106" s="20">
        <f>SUMIF($Y$21:$Y$77,$B106,$U$21:$U$77)</f>
        <v>97435</v>
      </c>
      <c r="V106" s="20">
        <f>SUMIF($Y$21:$Y$77,$B106,$V$21:$V$77)</f>
        <v>97435</v>
      </c>
      <c r="W106" s="20">
        <f>SUMIF($Y$21:$Y$77,$B106,$W$21:$W$77)</f>
        <v>97435</v>
      </c>
      <c r="X106" s="20">
        <f>SUMIF($Y$21:$Y$77,$B106,$X$21:$X$77)</f>
        <v>97435</v>
      </c>
    </row>
    <row r="107" spans="2:24" ht="15.75" thickBot="1">
      <c r="B107" s="103" t="s">
        <v>195</v>
      </c>
      <c r="C107" s="111" t="s">
        <v>29</v>
      </c>
      <c r="D107" s="106"/>
      <c r="E107" s="62">
        <f ca="1">SUM(M107:O107,P107:R107,S107:U107,V107:X107)</f>
        <v>559200</v>
      </c>
      <c r="F107" s="33">
        <f>SUMIF($Y$21:$Y$77,$B107,$F$21:$F$77)</f>
        <v>36600</v>
      </c>
      <c r="G107" s="33">
        <f>SUMIF($Y$21:$Y$77,$B107,$G$21:$G$77)</f>
        <v>36600</v>
      </c>
      <c r="H107" s="33">
        <f>SUMIF($Y$21:$Y$77,$B107,$H$21:$H$77)</f>
        <v>56600</v>
      </c>
      <c r="I107" s="85">
        <f t="shared" si="67"/>
        <v>119800</v>
      </c>
      <c r="J107" s="33">
        <v>146866</v>
      </c>
      <c r="K107" s="85">
        <f t="shared" si="66"/>
        <v>-27066</v>
      </c>
      <c r="L107" s="63">
        <f t="shared" si="68"/>
        <v>1.2259265442404006</v>
      </c>
      <c r="M107" s="20">
        <f>SUMIF($Y$21:$Y$77,$B107,$P$21:$P$77)</f>
        <v>36600</v>
      </c>
      <c r="N107" s="20">
        <f ca="1">SUMIF($Y$21:$Y$77,$B107,N21:N76)</f>
        <v>36600</v>
      </c>
      <c r="O107" s="20">
        <f>SUMIF($Y$21:$Y$77,$B107,$P$21:$P$77)</f>
        <v>36600</v>
      </c>
      <c r="P107" s="20">
        <f>SUMIF($Y$21:$Y$77,$B107,$P$21:$P$77)</f>
        <v>36600</v>
      </c>
      <c r="Q107" s="20">
        <f>SUMIF($Y$21:$Y$77,$B107,$Q$21:$Q$77)</f>
        <v>36600</v>
      </c>
      <c r="R107" s="20">
        <f>SUMIF($Y$21:$Y$77,$B107,$R$21:$R$77)</f>
        <v>36600</v>
      </c>
      <c r="S107" s="20">
        <f>SUMIF($Y$21:$Y$77,$B107,$S$21:$S$77)</f>
        <v>36600</v>
      </c>
      <c r="T107" s="20">
        <f>SUMIF($Y$21:$Y$77,$B107,$T$21:$T$77)</f>
        <v>36600</v>
      </c>
      <c r="U107" s="20">
        <f>SUMIF($Y$21:$Y$77,$B107,$U$21:$U$77)</f>
        <v>46600</v>
      </c>
      <c r="V107" s="20">
        <f>SUMIF($Y$21:$Y$77,$B107,$V$21:$V$77)</f>
        <v>36600</v>
      </c>
      <c r="W107" s="20">
        <f>SUMIF($Y$21:$Y$77,$B107,$W$21:$W$77)</f>
        <v>146600</v>
      </c>
      <c r="X107" s="20">
        <f>SUMIF($Y$21:$Y$77,$B107,$X$21:$X$77)</f>
        <v>36600</v>
      </c>
    </row>
    <row r="108" spans="2:24" ht="16.5" thickBot="1">
      <c r="B108" s="103"/>
      <c r="C108" s="110" t="s">
        <v>213</v>
      </c>
      <c r="D108" s="106"/>
      <c r="E108" s="112">
        <f ca="1">E100+E104+E105+E106+E107-6</f>
        <v>155282564</v>
      </c>
      <c r="F108" s="112">
        <f>F100+F104+F105+F106+F107+1</f>
        <v>7652513</v>
      </c>
      <c r="G108" s="112">
        <f>G100+G104+G105+G106+$F107+1</f>
        <v>7816797</v>
      </c>
      <c r="H108" s="112">
        <f>H100+H104+H105+H106+H107+1</f>
        <v>7045474</v>
      </c>
      <c r="I108" s="112">
        <f>SUM(I101:I107)-1</f>
        <v>42325977</v>
      </c>
      <c r="J108" s="112">
        <f>J100+J104+J105+J106+J107+1</f>
        <v>33535076</v>
      </c>
      <c r="K108" s="112">
        <f t="shared" si="66"/>
        <v>8790901</v>
      </c>
      <c r="L108" s="113">
        <f>J108/I108</f>
        <v>0.79230482972667116</v>
      </c>
      <c r="M108" s="30">
        <f ca="1">M100+M104+M105+M106+M107+1</f>
        <v>11858836</v>
      </c>
      <c r="N108" s="30">
        <f t="shared" ref="N108" ca="1" si="71">N100+N104+N105+N106+N107</f>
        <v>11479768</v>
      </c>
      <c r="O108" s="30">
        <f ca="1">O100+O104+O105+O106+O107-1</f>
        <v>11676097</v>
      </c>
      <c r="P108" s="30">
        <f>P100+P104+P105+P106+P107-1</f>
        <v>12655391</v>
      </c>
      <c r="Q108" s="30">
        <f>Q100+Q104+Q105+Q106+Q107-1</f>
        <v>12989866</v>
      </c>
      <c r="R108" s="30">
        <f>R100+R104+R105+R106+R107-1</f>
        <v>12431776</v>
      </c>
      <c r="S108" s="30">
        <f>S100+S104+S105+S106+S107</f>
        <v>13683075</v>
      </c>
      <c r="T108" s="30">
        <f>T100+T104+T105+T106+T107</f>
        <v>14474564</v>
      </c>
      <c r="U108" s="30">
        <f>U100+U104+U105+U106+U107-1</f>
        <v>14168338</v>
      </c>
      <c r="V108" s="30">
        <f t="shared" ref="V108:W108" si="72">V100+V104+V105+V106+V107</f>
        <v>14419948</v>
      </c>
      <c r="W108" s="30">
        <f t="shared" si="72"/>
        <v>11626306</v>
      </c>
      <c r="X108" s="30">
        <f>X100+X104+X105+X106+X107</f>
        <v>13818603</v>
      </c>
    </row>
    <row r="109" spans="2:24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2:24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24" ht="15.75">
      <c r="B111" s="104"/>
      <c r="C111" s="114" t="s">
        <v>1</v>
      </c>
      <c r="D111" s="104"/>
      <c r="E111" s="104"/>
      <c r="F111" s="104"/>
      <c r="G111" s="104"/>
      <c r="H111" s="115"/>
      <c r="I111" s="116" t="s">
        <v>145</v>
      </c>
      <c r="J111" s="115"/>
      <c r="K111" s="115"/>
      <c r="L111" s="115"/>
      <c r="M111" s="115"/>
      <c r="N111" s="115"/>
      <c r="O111" s="115"/>
    </row>
    <row r="112" spans="2:24" ht="15.75" customHeight="1">
      <c r="B112" s="104"/>
      <c r="C112" s="104"/>
      <c r="D112" s="104"/>
      <c r="E112" s="104"/>
      <c r="F112" s="104"/>
      <c r="G112" s="104"/>
      <c r="H112" s="104"/>
      <c r="I112" s="117"/>
      <c r="J112" s="104"/>
      <c r="K112" s="104"/>
      <c r="L112" s="104"/>
      <c r="M112" s="104"/>
      <c r="N112" s="104"/>
      <c r="O112" s="104"/>
    </row>
    <row r="113" spans="2:16" ht="15.75">
      <c r="B113" s="104"/>
      <c r="C113" s="118" t="s">
        <v>78</v>
      </c>
      <c r="D113" s="118"/>
      <c r="E113" s="104"/>
      <c r="F113" s="118"/>
      <c r="G113" s="118"/>
      <c r="H113" s="118"/>
      <c r="I113" s="119" t="s">
        <v>79</v>
      </c>
      <c r="J113" s="118"/>
      <c r="K113" s="118"/>
      <c r="L113" s="118"/>
      <c r="M113" s="118"/>
      <c r="N113" s="118"/>
      <c r="O113" s="118"/>
      <c r="P113" s="5"/>
    </row>
    <row r="114" spans="2:16" ht="15" customHeight="1">
      <c r="B114" s="104"/>
      <c r="C114" s="118"/>
      <c r="D114" s="118"/>
      <c r="E114" s="104"/>
      <c r="F114" s="118"/>
      <c r="G114" s="118"/>
      <c r="H114" s="118"/>
      <c r="I114" s="119"/>
      <c r="J114" s="118"/>
      <c r="K114" s="118"/>
      <c r="L114" s="118"/>
      <c r="M114" s="118"/>
      <c r="N114" s="118"/>
      <c r="O114" s="118"/>
      <c r="P114" s="5"/>
    </row>
    <row r="115" spans="2:16" ht="15.75">
      <c r="B115" s="104"/>
      <c r="C115" s="118" t="s">
        <v>80</v>
      </c>
      <c r="D115" s="118"/>
      <c r="E115" s="104"/>
      <c r="F115" s="118"/>
      <c r="G115" s="118"/>
      <c r="H115" s="118"/>
      <c r="I115" s="119" t="s">
        <v>237</v>
      </c>
      <c r="J115" s="118"/>
      <c r="K115" s="118"/>
      <c r="L115" s="118"/>
      <c r="M115" s="118"/>
      <c r="N115" s="118"/>
      <c r="O115" s="118"/>
      <c r="P115" s="5"/>
    </row>
    <row r="116" spans="2:16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</sheetData>
  <mergeCells count="6">
    <mergeCell ref="I98:L98"/>
    <mergeCell ref="C1:J1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2" manualBreakCount="2">
    <brk id="94" max="23" man="1"/>
    <brk id="1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ІІІ</vt:lpstr>
      <vt:lpstr>доходи</vt:lpstr>
      <vt:lpstr> витрати</vt:lpstr>
      <vt:lpstr>' витрати'!Область_печати</vt:lpstr>
      <vt:lpstr>ІІІ!Область_печати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2023-10-26T06:40:15Z</cp:lastPrinted>
  <dcterms:created xsi:type="dcterms:W3CDTF">2019-06-26T12:37:28Z</dcterms:created>
  <dcterms:modified xsi:type="dcterms:W3CDTF">2023-10-26T06:40:26Z</dcterms:modified>
</cp:coreProperties>
</file>