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ME\Desktop\Звітність КП\ММКП РБУ\"/>
    </mc:Choice>
  </mc:AlternateContent>
  <xr:revisionPtr revIDLastSave="0" documentId="8_{C1B847F4-5155-48FB-B804-15B82AC28E68}" xr6:coauthVersionLast="47" xr6:coauthVersionMax="47" xr10:uidLastSave="{00000000-0000-0000-0000-000000000000}"/>
  <bookViews>
    <workbookView xWindow="60" yWindow="15" windowWidth="28740" windowHeight="15585" xr2:uid="{00000000-000D-0000-FFFF-FFFF00000000}"/>
  </bookViews>
  <sheets>
    <sheet name="2024 (зі змінами 11.01.24)" sheetId="1" r:id="rId1"/>
    <sheet name="доходи" sheetId="4" r:id="rId2"/>
    <sheet name="План витрат" sheetId="2" r:id="rId3"/>
    <sheet name="План ЗП " sheetId="3" r:id="rId4"/>
  </sheets>
  <externalReferences>
    <externalReference r:id="rId5"/>
    <externalReference r:id="rId6"/>
  </externalReferences>
  <definedNames>
    <definedName name="_xlnm._FilterDatabase" localSheetId="1" hidden="1">доходи!$A$6:$AM$42</definedName>
    <definedName name="_xlnm.Print_Area" localSheetId="0">'2024 (зі змінами 11.01.24)'!$A$1:$I$69</definedName>
    <definedName name="_xlnm.Print_Area" localSheetId="1">доходи!$A$1:$BO$50</definedName>
    <definedName name="_xlnm.Print_Area" localSheetId="2">'План витрат'!$A$1:$Q$308</definedName>
    <definedName name="_xlnm.Print_Area" localSheetId="3">'План ЗП '!$A$2:$EK$20</definedName>
  </definedNames>
  <calcPr calcId="191029" refMode="R1C1"/>
</workbook>
</file>

<file path=xl/calcChain.xml><?xml version="1.0" encoding="utf-8"?>
<calcChain xmlns="http://schemas.openxmlformats.org/spreadsheetml/2006/main">
  <c r="K184" i="2" l="1"/>
  <c r="J184" i="2"/>
  <c r="I184" i="2"/>
  <c r="H184" i="2"/>
  <c r="G184" i="2"/>
  <c r="F184" i="2"/>
  <c r="Q184" i="2"/>
  <c r="P184" i="2"/>
  <c r="O184" i="2"/>
  <c r="N184" i="2"/>
  <c r="L184" i="2"/>
  <c r="Q53" i="2"/>
  <c r="F53" i="2"/>
  <c r="E54" i="2"/>
  <c r="E56" i="2"/>
  <c r="E55" i="2"/>
  <c r="E49" i="2"/>
  <c r="E43" i="2"/>
  <c r="E48" i="2"/>
  <c r="E47" i="2"/>
  <c r="H27" i="1"/>
  <c r="I27" i="1"/>
  <c r="G27" i="1"/>
  <c r="F27" i="1"/>
  <c r="E36" i="1" l="1"/>
  <c r="Q45" i="2" l="1"/>
  <c r="P45" i="2"/>
  <c r="O45" i="2"/>
  <c r="N45" i="2"/>
  <c r="M45" i="2"/>
  <c r="L45" i="2"/>
  <c r="K45" i="2"/>
  <c r="J45" i="2"/>
  <c r="I45" i="2"/>
  <c r="H45" i="2"/>
  <c r="H51" i="2" s="1"/>
  <c r="G45" i="2"/>
  <c r="F42" i="2"/>
  <c r="G53" i="2"/>
  <c r="H53" i="2"/>
  <c r="I53" i="2"/>
  <c r="J53" i="2"/>
  <c r="K53" i="2"/>
  <c r="L53" i="2"/>
  <c r="M53" i="2"/>
  <c r="N53" i="2"/>
  <c r="O53" i="2"/>
  <c r="P53" i="2"/>
  <c r="E42" i="2" l="1"/>
  <c r="F51" i="2"/>
  <c r="E45" i="2"/>
  <c r="G51" i="2"/>
  <c r="Q50" i="2"/>
  <c r="E50" i="2" s="1"/>
  <c r="AW13" i="4"/>
  <c r="AU13" i="4"/>
  <c r="AT13" i="4"/>
  <c r="AS13" i="4"/>
  <c r="AR13" i="4"/>
  <c r="AP13" i="4"/>
  <c r="AQ13" i="4"/>
  <c r="AY11" i="4" l="1"/>
  <c r="AX12" i="4"/>
  <c r="AV12" i="4"/>
  <c r="AS12" i="4"/>
  <c r="AQ12" i="4"/>
  <c r="AR28" i="4"/>
  <c r="AQ28" i="4"/>
  <c r="AX27" i="4"/>
  <c r="AZ26" i="4"/>
  <c r="AR26" i="4"/>
  <c r="AU27" i="4"/>
  <c r="AS27" i="4"/>
  <c r="AY27" i="4"/>
  <c r="AW27" i="4"/>
  <c r="AR27" i="4"/>
  <c r="AO26" i="4"/>
  <c r="AY26" i="4"/>
  <c r="AX26" i="4"/>
  <c r="AW26" i="4"/>
  <c r="AV26" i="4"/>
  <c r="AU26" i="4"/>
  <c r="AT26" i="4"/>
  <c r="AS26" i="4"/>
  <c r="AQ26" i="4"/>
  <c r="AP26" i="4"/>
  <c r="AZ25" i="4"/>
  <c r="AU25" i="4"/>
  <c r="AY25" i="4"/>
  <c r="AS25" i="4"/>
  <c r="AQ25" i="4"/>
  <c r="AP25" i="4"/>
  <c r="AV23" i="4"/>
  <c r="AQ23" i="4"/>
  <c r="AS20" i="4"/>
  <c r="AY18" i="4"/>
  <c r="AT18" i="4"/>
  <c r="AX18" i="4"/>
  <c r="AW18" i="4"/>
  <c r="AV18" i="4"/>
  <c r="AU18" i="4"/>
  <c r="AS18" i="4"/>
  <c r="AR18" i="4"/>
  <c r="AQ18" i="4"/>
  <c r="AP18" i="4"/>
  <c r="AO18" i="4"/>
  <c r="AW19" i="4"/>
  <c r="AV19" i="4"/>
  <c r="AT19" i="4"/>
  <c r="AY19" i="4"/>
  <c r="AX19" i="4"/>
  <c r="AZ19" i="4"/>
  <c r="AU16" i="4"/>
  <c r="AX16" i="4"/>
  <c r="AY16" i="4"/>
  <c r="AZ16" i="4"/>
  <c r="AX15" i="4"/>
  <c r="AU15" i="4"/>
  <c r="AT15" i="4"/>
  <c r="AR15" i="4"/>
  <c r="AQ15" i="4"/>
  <c r="AP15" i="4"/>
  <c r="AO15" i="4"/>
  <c r="AP16" i="4"/>
  <c r="AO16" i="4"/>
  <c r="AW16" i="4"/>
  <c r="AV16" i="4"/>
  <c r="AT16" i="4"/>
  <c r="AQ16" i="4"/>
  <c r="AV14" i="4"/>
  <c r="AZ14" i="4"/>
  <c r="AY14" i="4"/>
  <c r="AX14" i="4"/>
  <c r="AW14" i="4"/>
  <c r="AU14" i="4"/>
  <c r="AT14" i="4"/>
  <c r="AS14" i="4"/>
  <c r="AR14" i="4"/>
  <c r="AO14" i="4"/>
  <c r="AO13" i="4"/>
  <c r="AX13" i="4"/>
  <c r="AZ13" i="4"/>
  <c r="AO10" i="4"/>
  <c r="AQ10" i="4"/>
  <c r="AP10" i="4"/>
  <c r="AP9" i="4"/>
  <c r="AS9" i="4"/>
  <c r="AQ9" i="4"/>
  <c r="S11" i="3"/>
  <c r="S12" i="3"/>
  <c r="L12" i="3"/>
  <c r="J11" i="3"/>
  <c r="S13" i="3"/>
  <c r="R13" i="3"/>
  <c r="J13" i="3"/>
  <c r="D13" i="3"/>
  <c r="R11" i="3"/>
  <c r="J10" i="3"/>
  <c r="P46" i="2" l="1"/>
  <c r="I46" i="2"/>
  <c r="E46" i="2" l="1"/>
  <c r="I51" i="2"/>
  <c r="AR9" i="4"/>
  <c r="BD40" i="4" l="1"/>
  <c r="BE40" i="4"/>
  <c r="BF40" i="4"/>
  <c r="BG40" i="4"/>
  <c r="BH40" i="4"/>
  <c r="BI40" i="4"/>
  <c r="BJ40" i="4"/>
  <c r="BK40" i="4"/>
  <c r="BL40" i="4"/>
  <c r="BM40" i="4"/>
  <c r="BN40" i="4"/>
  <c r="BC40" i="4"/>
  <c r="AQ39" i="4"/>
  <c r="AZ28" i="4" l="1"/>
  <c r="AY28" i="4"/>
  <c r="AX28" i="4"/>
  <c r="AW28" i="4"/>
  <c r="AV28" i="4"/>
  <c r="AU28" i="4"/>
  <c r="AT28" i="4"/>
  <c r="AS28" i="4"/>
  <c r="AP28" i="4"/>
  <c r="AO28" i="4"/>
  <c r="AV27" i="4"/>
  <c r="AP27" i="4"/>
  <c r="AR25" i="4"/>
  <c r="AX21" i="4"/>
  <c r="AW21" i="4"/>
  <c r="AR21" i="4"/>
  <c r="AQ21" i="4"/>
  <c r="AP21" i="4"/>
  <c r="AO21" i="4"/>
  <c r="AU19" i="4"/>
  <c r="AS19" i="4"/>
  <c r="AQ19" i="4"/>
  <c r="AP19" i="4"/>
  <c r="AO19" i="4"/>
  <c r="AZ15" i="4"/>
  <c r="AS15" i="4"/>
  <c r="AP14" i="4"/>
  <c r="AV13" i="4"/>
  <c r="AZ10" i="4"/>
  <c r="AZ8" i="4"/>
  <c r="AY8" i="4"/>
  <c r="AX8" i="4"/>
  <c r="AW8" i="4"/>
  <c r="AV8" i="4"/>
  <c r="AU8" i="4"/>
  <c r="AT8" i="4"/>
  <c r="AS8" i="4"/>
  <c r="AR8" i="4"/>
  <c r="AQ8" i="4"/>
  <c r="C54" i="1" l="1"/>
  <c r="D21" i="1"/>
  <c r="D18" i="1"/>
  <c r="D35" i="1" s="1"/>
  <c r="D34" i="1" s="1"/>
  <c r="D17" i="1"/>
  <c r="H13" i="3"/>
  <c r="O13" i="3" s="1"/>
  <c r="Q13" i="3" l="1"/>
  <c r="T13" i="3" s="1"/>
  <c r="P296" i="2"/>
  <c r="M296" i="2"/>
  <c r="F296" i="2"/>
  <c r="F298" i="2"/>
  <c r="Q296" i="2"/>
  <c r="K296" i="2"/>
  <c r="L296" i="2"/>
  <c r="N296" i="2"/>
  <c r="O296" i="2"/>
  <c r="J296" i="2"/>
  <c r="I296" i="2"/>
  <c r="H296" i="2"/>
  <c r="G296" i="2"/>
  <c r="G51" i="1" l="1"/>
  <c r="BA11" i="4" l="1"/>
  <c r="S10" i="3" l="1"/>
  <c r="H11" i="3" l="1"/>
  <c r="R10" i="3"/>
  <c r="P13" i="3" l="1"/>
  <c r="BA40" i="4" l="1"/>
  <c r="AZ42" i="4"/>
  <c r="M295" i="2"/>
  <c r="L295" i="2"/>
  <c r="I295" i="2"/>
  <c r="E27" i="1" l="1"/>
  <c r="F292" i="2"/>
  <c r="C10" i="3"/>
  <c r="E20" i="1" l="1"/>
  <c r="E194" i="2" l="1"/>
  <c r="E60" i="2"/>
  <c r="M184" i="2"/>
  <c r="H25" i="1" s="1"/>
  <c r="E61" i="2"/>
  <c r="BH22" i="4"/>
  <c r="BI22" i="4"/>
  <c r="BJ22" i="4"/>
  <c r="BK22" i="4"/>
  <c r="BG22" i="4"/>
  <c r="BG27" i="4"/>
  <c r="BH41" i="4"/>
  <c r="K15" i="2" s="1"/>
  <c r="BI41" i="4"/>
  <c r="L15" i="2" s="1"/>
  <c r="BJ41" i="4"/>
  <c r="M15" i="2" s="1"/>
  <c r="BK41" i="4"/>
  <c r="N15" i="2" s="1"/>
  <c r="BL41" i="4"/>
  <c r="O15" i="2" s="1"/>
  <c r="BM41" i="4"/>
  <c r="BN41" i="4"/>
  <c r="BG41" i="4"/>
  <c r="J15" i="2" s="1"/>
  <c r="BF41" i="4"/>
  <c r="I15" i="2" s="1"/>
  <c r="AS42" i="4"/>
  <c r="AT42" i="4"/>
  <c r="AU42" i="4"/>
  <c r="AV42" i="4"/>
  <c r="AW42" i="4"/>
  <c r="AX42" i="4"/>
  <c r="AY42" i="4"/>
  <c r="AR42" i="4"/>
  <c r="AM41" i="4"/>
  <c r="AI41" i="4"/>
  <c r="AE41" i="4"/>
  <c r="AA41" i="4"/>
  <c r="W41" i="4"/>
  <c r="G41" i="4"/>
  <c r="F41" i="4" l="1"/>
  <c r="BO41" i="4"/>
  <c r="AP42" i="4"/>
  <c r="AQ42" i="4"/>
  <c r="AO42" i="4"/>
  <c r="AJ24" i="4" l="1"/>
  <c r="AK24" i="4"/>
  <c r="AL24" i="4"/>
  <c r="AF24" i="4"/>
  <c r="AG24" i="4"/>
  <c r="AH24" i="4"/>
  <c r="AB24" i="4"/>
  <c r="AC24" i="4"/>
  <c r="AD24" i="4"/>
  <c r="BA28" i="4" l="1"/>
  <c r="AM33" i="4"/>
  <c r="AI33" i="4"/>
  <c r="AE33" i="4"/>
  <c r="AA33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A32" i="4"/>
  <c r="AM32" i="4"/>
  <c r="AI32" i="4"/>
  <c r="AE32" i="4"/>
  <c r="AA32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A31" i="4"/>
  <c r="AM31" i="4"/>
  <c r="AI31" i="4"/>
  <c r="AE31" i="4"/>
  <c r="AA31" i="4"/>
  <c r="BN22" i="4"/>
  <c r="BM22" i="4"/>
  <c r="BL22" i="4"/>
  <c r="BF22" i="4"/>
  <c r="BE22" i="4"/>
  <c r="BD22" i="4"/>
  <c r="BC22" i="4"/>
  <c r="BA22" i="4"/>
  <c r="AM22" i="4"/>
  <c r="AI22" i="4"/>
  <c r="AE22" i="4"/>
  <c r="AA22" i="4"/>
  <c r="W22" i="4"/>
  <c r="G22" i="4"/>
  <c r="F31" i="4" l="1"/>
  <c r="F32" i="4"/>
  <c r="F22" i="4"/>
  <c r="BO22" i="4"/>
  <c r="BO32" i="4"/>
  <c r="BO31" i="4"/>
  <c r="F33" i="4"/>
  <c r="AA8" i="4" l="1"/>
  <c r="D54" i="1" l="1"/>
  <c r="E186" i="2"/>
  <c r="E185" i="2"/>
  <c r="D19" i="1"/>
  <c r="C19" i="1"/>
  <c r="AO7" i="4"/>
  <c r="E15" i="2" l="1"/>
  <c r="G14" i="2"/>
  <c r="H14" i="2"/>
  <c r="I14" i="2"/>
  <c r="J14" i="2"/>
  <c r="K14" i="2"/>
  <c r="L14" i="2"/>
  <c r="M14" i="2"/>
  <c r="N14" i="2"/>
  <c r="O14" i="2"/>
  <c r="P14" i="2"/>
  <c r="Q14" i="2"/>
  <c r="F14" i="2"/>
  <c r="H12" i="3" l="1"/>
  <c r="O12" i="3" s="1"/>
  <c r="O11" i="3"/>
  <c r="Q12" i="3" l="1"/>
  <c r="T12" i="3" s="1"/>
  <c r="P12" i="3" l="1"/>
  <c r="O10" i="3"/>
  <c r="AA25" i="4"/>
  <c r="BD28" i="4"/>
  <c r="BE28" i="4"/>
  <c r="BF28" i="4"/>
  <c r="BG28" i="4"/>
  <c r="BH28" i="4"/>
  <c r="BI28" i="4"/>
  <c r="BJ28" i="4"/>
  <c r="BK28" i="4"/>
  <c r="BL28" i="4"/>
  <c r="BM28" i="4"/>
  <c r="BN28" i="4"/>
  <c r="BC28" i="4"/>
  <c r="BD29" i="4"/>
  <c r="BE29" i="4"/>
  <c r="BF29" i="4"/>
  <c r="BG29" i="4"/>
  <c r="BH29" i="4"/>
  <c r="BI29" i="4"/>
  <c r="BJ29" i="4"/>
  <c r="BK29" i="4"/>
  <c r="BL29" i="4"/>
  <c r="BM29" i="4"/>
  <c r="BN29" i="4"/>
  <c r="BD30" i="4"/>
  <c r="BE30" i="4"/>
  <c r="BF30" i="4"/>
  <c r="BG30" i="4"/>
  <c r="BH30" i="4"/>
  <c r="BI30" i="4"/>
  <c r="BJ30" i="4"/>
  <c r="BK30" i="4"/>
  <c r="BL30" i="4"/>
  <c r="BM30" i="4"/>
  <c r="BN30" i="4"/>
  <c r="BC30" i="4"/>
  <c r="BC29" i="4"/>
  <c r="BD39" i="4" l="1"/>
  <c r="G13" i="2" s="1"/>
  <c r="BE39" i="4"/>
  <c r="H13" i="2" s="1"/>
  <c r="BF39" i="4"/>
  <c r="I13" i="2" s="1"/>
  <c r="BG39" i="4"/>
  <c r="J13" i="2" s="1"/>
  <c r="BH39" i="4"/>
  <c r="K13" i="2" s="1"/>
  <c r="BI39" i="4"/>
  <c r="L13" i="2" s="1"/>
  <c r="BJ39" i="4"/>
  <c r="M13" i="2" s="1"/>
  <c r="BK39" i="4"/>
  <c r="N13" i="2" s="1"/>
  <c r="BL39" i="4"/>
  <c r="O13" i="2" s="1"/>
  <c r="BM39" i="4"/>
  <c r="P13" i="2" s="1"/>
  <c r="BN39" i="4"/>
  <c r="Q13" i="2" s="1"/>
  <c r="BC39" i="4"/>
  <c r="F13" i="2" s="1"/>
  <c r="AA37" i="4" l="1"/>
  <c r="AE37" i="4"/>
  <c r="AI37" i="4"/>
  <c r="AM37" i="4"/>
  <c r="AA38" i="4"/>
  <c r="AE38" i="4"/>
  <c r="AI38" i="4"/>
  <c r="AM38" i="4"/>
  <c r="AA39" i="4"/>
  <c r="AE39" i="4"/>
  <c r="AI39" i="4"/>
  <c r="AM39" i="4"/>
  <c r="AA40" i="4"/>
  <c r="AE40" i="4"/>
  <c r="AI40" i="4"/>
  <c r="AM40" i="4"/>
  <c r="AM36" i="4"/>
  <c r="AI36" i="4"/>
  <c r="AE36" i="4"/>
  <c r="AA36" i="4"/>
  <c r="AA42" i="4" s="1"/>
  <c r="AA30" i="4"/>
  <c r="AE30" i="4"/>
  <c r="AI30" i="4"/>
  <c r="AM30" i="4"/>
  <c r="AA29" i="4"/>
  <c r="AE29" i="4"/>
  <c r="AI29" i="4"/>
  <c r="AM29" i="4"/>
  <c r="G28" i="4"/>
  <c r="H28" i="4"/>
  <c r="I28" i="4"/>
  <c r="K28" i="4"/>
  <c r="L28" i="4"/>
  <c r="M28" i="4"/>
  <c r="O28" i="4"/>
  <c r="P28" i="4"/>
  <c r="Q28" i="4"/>
  <c r="S28" i="4"/>
  <c r="U28" i="4"/>
  <c r="BO29" i="4"/>
  <c r="BO30" i="4"/>
  <c r="BA29" i="4"/>
  <c r="BA30" i="4"/>
  <c r="AE42" i="4" l="1"/>
  <c r="AI42" i="4"/>
  <c r="AM42" i="4"/>
  <c r="F29" i="4"/>
  <c r="F30" i="4"/>
  <c r="AI8" i="4"/>
  <c r="AM8" i="4"/>
  <c r="AE8" i="4"/>
  <c r="BA8" i="4"/>
  <c r="F42" i="4" l="1"/>
  <c r="F8" i="4"/>
  <c r="C41" i="1" l="1"/>
  <c r="BE33" i="4" l="1"/>
  <c r="BD35" i="4" l="1"/>
  <c r="BE35" i="4"/>
  <c r="BF35" i="4"/>
  <c r="BG35" i="4"/>
  <c r="BH35" i="4"/>
  <c r="BI35" i="4"/>
  <c r="BJ35" i="4"/>
  <c r="BK35" i="4"/>
  <c r="BL35" i="4"/>
  <c r="BM35" i="4"/>
  <c r="BN35" i="4"/>
  <c r="BD36" i="4"/>
  <c r="G10" i="2" s="1"/>
  <c r="BE36" i="4"/>
  <c r="H10" i="2" s="1"/>
  <c r="BF36" i="4"/>
  <c r="BG36" i="4"/>
  <c r="BH36" i="4"/>
  <c r="BI36" i="4"/>
  <c r="BJ36" i="4"/>
  <c r="BK36" i="4"/>
  <c r="BL36" i="4"/>
  <c r="BM36" i="4"/>
  <c r="BN36" i="4"/>
  <c r="BD37" i="4"/>
  <c r="G11" i="2" s="1"/>
  <c r="BE37" i="4"/>
  <c r="H11" i="2" s="1"/>
  <c r="BF37" i="4"/>
  <c r="I11" i="2" s="1"/>
  <c r="BG37" i="4"/>
  <c r="J11" i="2" s="1"/>
  <c r="BH37" i="4"/>
  <c r="K11" i="2" s="1"/>
  <c r="BI37" i="4"/>
  <c r="L11" i="2" s="1"/>
  <c r="BJ37" i="4"/>
  <c r="M11" i="2" s="1"/>
  <c r="BK37" i="4"/>
  <c r="N11" i="2" s="1"/>
  <c r="BL37" i="4"/>
  <c r="O11" i="2" s="1"/>
  <c r="BM37" i="4"/>
  <c r="P11" i="2" s="1"/>
  <c r="BN37" i="4"/>
  <c r="Q11" i="2" s="1"/>
  <c r="BD38" i="4"/>
  <c r="G12" i="2" s="1"/>
  <c r="BE38" i="4"/>
  <c r="H12" i="2" s="1"/>
  <c r="BF38" i="4"/>
  <c r="I12" i="2" s="1"/>
  <c r="BG38" i="4"/>
  <c r="J12" i="2" s="1"/>
  <c r="BH38" i="4"/>
  <c r="K12" i="2" s="1"/>
  <c r="BI38" i="4"/>
  <c r="L12" i="2" s="1"/>
  <c r="BJ38" i="4"/>
  <c r="M12" i="2" s="1"/>
  <c r="BK38" i="4"/>
  <c r="N12" i="2" s="1"/>
  <c r="BL38" i="4"/>
  <c r="O12" i="2" s="1"/>
  <c r="BM38" i="4"/>
  <c r="P12" i="2" s="1"/>
  <c r="BN38" i="4"/>
  <c r="Q12" i="2" s="1"/>
  <c r="BC36" i="4"/>
  <c r="F10" i="2" s="1"/>
  <c r="BC37" i="4"/>
  <c r="F11" i="2" s="1"/>
  <c r="BC38" i="4"/>
  <c r="F12" i="2" s="1"/>
  <c r="BC35" i="4"/>
  <c r="W43" i="4"/>
  <c r="E43" i="4" s="1"/>
  <c r="G43" i="4"/>
  <c r="AL42" i="4"/>
  <c r="AK42" i="4"/>
  <c r="AJ42" i="4"/>
  <c r="AH42" i="4"/>
  <c r="AG42" i="4"/>
  <c r="AF42" i="4"/>
  <c r="AD42" i="4"/>
  <c r="AC42" i="4"/>
  <c r="AB42" i="4"/>
  <c r="W42" i="4"/>
  <c r="E42" i="4" s="1"/>
  <c r="G42" i="4"/>
  <c r="W40" i="4"/>
  <c r="E40" i="4" s="1"/>
  <c r="G40" i="4"/>
  <c r="F40" i="4"/>
  <c r="BO39" i="4"/>
  <c r="W39" i="4"/>
  <c r="E39" i="4" s="1"/>
  <c r="G39" i="4"/>
  <c r="F39" i="4"/>
  <c r="BA38" i="4"/>
  <c r="W38" i="4"/>
  <c r="E38" i="4" s="1"/>
  <c r="G38" i="4"/>
  <c r="F38" i="4"/>
  <c r="BA37" i="4"/>
  <c r="W37" i="4"/>
  <c r="E37" i="4" s="1"/>
  <c r="G37" i="4"/>
  <c r="F37" i="4"/>
  <c r="BA36" i="4"/>
  <c r="W36" i="4"/>
  <c r="E36" i="4" s="1"/>
  <c r="G36" i="4"/>
  <c r="F36" i="4"/>
  <c r="W35" i="4"/>
  <c r="E35" i="4" s="1"/>
  <c r="G35" i="4"/>
  <c r="BN33" i="4"/>
  <c r="BM33" i="4"/>
  <c r="BL33" i="4"/>
  <c r="BK33" i="4"/>
  <c r="BJ33" i="4"/>
  <c r="BI33" i="4"/>
  <c r="BH33" i="4"/>
  <c r="BG33" i="4"/>
  <c r="BF33" i="4"/>
  <c r="BD33" i="4"/>
  <c r="W33" i="4"/>
  <c r="G33" i="4"/>
  <c r="Y28" i="4"/>
  <c r="Y24" i="4" s="1"/>
  <c r="Y34" i="4" s="1"/>
  <c r="W28" i="4"/>
  <c r="T28" i="4"/>
  <c r="T24" i="4" s="1"/>
  <c r="T34" i="4" s="1"/>
  <c r="AM28" i="4"/>
  <c r="R28" i="4" s="1"/>
  <c r="AI28" i="4"/>
  <c r="AE28" i="4"/>
  <c r="AA28" i="4"/>
  <c r="BN27" i="4"/>
  <c r="BM27" i="4"/>
  <c r="BL27" i="4"/>
  <c r="BK27" i="4"/>
  <c r="BJ27" i="4"/>
  <c r="BI27" i="4"/>
  <c r="BH27" i="4"/>
  <c r="BF27" i="4"/>
  <c r="BE27" i="4"/>
  <c r="BD27" i="4"/>
  <c r="BC27" i="4"/>
  <c r="AM27" i="4"/>
  <c r="AI27" i="4"/>
  <c r="AE27" i="4"/>
  <c r="AA27" i="4"/>
  <c r="W27" i="4"/>
  <c r="G27" i="4"/>
  <c r="BN26" i="4"/>
  <c r="BM26" i="4"/>
  <c r="BL26" i="4"/>
  <c r="BK26" i="4"/>
  <c r="BJ26" i="4"/>
  <c r="BI26" i="4"/>
  <c r="BH26" i="4"/>
  <c r="BG26" i="4"/>
  <c r="BF26" i="4"/>
  <c r="BE26" i="4"/>
  <c r="BD26" i="4"/>
  <c r="BA26" i="4"/>
  <c r="AM26" i="4"/>
  <c r="AI26" i="4"/>
  <c r="AE26" i="4"/>
  <c r="AA26" i="4"/>
  <c r="W26" i="4"/>
  <c r="G26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AM25" i="4"/>
  <c r="AI25" i="4"/>
  <c r="AE25" i="4"/>
  <c r="W25" i="4"/>
  <c r="G25" i="4"/>
  <c r="G24" i="4" s="1"/>
  <c r="H24" i="4"/>
  <c r="AL34" i="4"/>
  <c r="AK34" i="4"/>
  <c r="AJ34" i="4"/>
  <c r="AH34" i="4"/>
  <c r="AG34" i="4"/>
  <c r="AF34" i="4"/>
  <c r="AF43" i="4" s="1"/>
  <c r="AD34" i="4"/>
  <c r="AC34" i="4"/>
  <c r="AB34" i="4"/>
  <c r="U24" i="4"/>
  <c r="U34" i="4" s="1"/>
  <c r="S24" i="4"/>
  <c r="S34" i="4" s="1"/>
  <c r="R24" i="4"/>
  <c r="R34" i="4" s="1"/>
  <c r="Q24" i="4"/>
  <c r="Q34" i="4" s="1"/>
  <c r="P24" i="4"/>
  <c r="P34" i="4" s="1"/>
  <c r="O24" i="4"/>
  <c r="O34" i="4" s="1"/>
  <c r="M24" i="4"/>
  <c r="M34" i="4" s="1"/>
  <c r="L24" i="4"/>
  <c r="L34" i="4" s="1"/>
  <c r="K24" i="4"/>
  <c r="K34" i="4" s="1"/>
  <c r="I24" i="4"/>
  <c r="I34" i="4" s="1"/>
  <c r="BN23" i="4"/>
  <c r="BM23" i="4"/>
  <c r="BL23" i="4"/>
  <c r="BK23" i="4"/>
  <c r="BJ23" i="4"/>
  <c r="BI23" i="4"/>
  <c r="BH23" i="4"/>
  <c r="BG23" i="4"/>
  <c r="BF23" i="4"/>
  <c r="BE23" i="4"/>
  <c r="BD23" i="4"/>
  <c r="BA23" i="4"/>
  <c r="AM23" i="4"/>
  <c r="AI23" i="4"/>
  <c r="AE23" i="4"/>
  <c r="AA23" i="4"/>
  <c r="W23" i="4"/>
  <c r="G23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AM21" i="4"/>
  <c r="AI21" i="4"/>
  <c r="AE21" i="4"/>
  <c r="AA21" i="4"/>
  <c r="W21" i="4"/>
  <c r="G21" i="4"/>
  <c r="BN20" i="4"/>
  <c r="BM20" i="4"/>
  <c r="BL20" i="4"/>
  <c r="BK20" i="4"/>
  <c r="BJ20" i="4"/>
  <c r="BI20" i="4"/>
  <c r="BH20" i="4"/>
  <c r="BG20" i="4"/>
  <c r="BF20" i="4"/>
  <c r="BE20" i="4"/>
  <c r="BD20" i="4"/>
  <c r="BA20" i="4"/>
  <c r="AM20" i="4"/>
  <c r="AI20" i="4"/>
  <c r="AE20" i="4"/>
  <c r="AA20" i="4"/>
  <c r="W20" i="4"/>
  <c r="G20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AM19" i="4"/>
  <c r="AI19" i="4"/>
  <c r="AE19" i="4"/>
  <c r="AA19" i="4"/>
  <c r="W19" i="4"/>
  <c r="G19" i="4"/>
  <c r="BN18" i="4"/>
  <c r="BM18" i="4"/>
  <c r="BL18" i="4"/>
  <c r="BK18" i="4"/>
  <c r="BJ18" i="4"/>
  <c r="BI18" i="4"/>
  <c r="BH18" i="4"/>
  <c r="BG18" i="4"/>
  <c r="BF18" i="4"/>
  <c r="BE18" i="4"/>
  <c r="BD18" i="4"/>
  <c r="BA18" i="4"/>
  <c r="AM18" i="4"/>
  <c r="AI18" i="4"/>
  <c r="AE18" i="4"/>
  <c r="W18" i="4"/>
  <c r="G18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W17" i="4"/>
  <c r="E17" i="4" s="1"/>
  <c r="G17" i="4"/>
  <c r="BN16" i="4"/>
  <c r="BM16" i="4"/>
  <c r="BL16" i="4"/>
  <c r="BK16" i="4"/>
  <c r="BJ16" i="4"/>
  <c r="BI16" i="4"/>
  <c r="BH16" i="4"/>
  <c r="BG16" i="4"/>
  <c r="BF16" i="4"/>
  <c r="BE16" i="4"/>
  <c r="BD16" i="4"/>
  <c r="BA16" i="4"/>
  <c r="AM16" i="4"/>
  <c r="AI16" i="4"/>
  <c r="AE16" i="4"/>
  <c r="W16" i="4"/>
  <c r="E16" i="4" s="1"/>
  <c r="G16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AM15" i="4"/>
  <c r="AI15" i="4"/>
  <c r="AE15" i="4"/>
  <c r="AA15" i="4"/>
  <c r="W15" i="4"/>
  <c r="E15" i="4" s="1"/>
  <c r="G15" i="4"/>
  <c r="BN14" i="4"/>
  <c r="BM14" i="4"/>
  <c r="BL14" i="4"/>
  <c r="BK14" i="4"/>
  <c r="BJ14" i="4"/>
  <c r="BI14" i="4"/>
  <c r="BH14" i="4"/>
  <c r="BG14" i="4"/>
  <c r="BF14" i="4"/>
  <c r="BE14" i="4"/>
  <c r="BD14" i="4"/>
  <c r="BA14" i="4"/>
  <c r="AM14" i="4"/>
  <c r="AE14" i="4"/>
  <c r="W14" i="4"/>
  <c r="E14" i="4" s="1"/>
  <c r="G14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AM13" i="4"/>
  <c r="AI13" i="4"/>
  <c r="AA13" i="4"/>
  <c r="W13" i="4"/>
  <c r="E13" i="4" s="1"/>
  <c r="G13" i="4"/>
  <c r="BN12" i="4"/>
  <c r="BM12" i="4"/>
  <c r="BL12" i="4"/>
  <c r="BK12" i="4"/>
  <c r="BJ12" i="4"/>
  <c r="BI12" i="4"/>
  <c r="BH12" i="4"/>
  <c r="BG12" i="4"/>
  <c r="BF12" i="4"/>
  <c r="BE12" i="4"/>
  <c r="BD12" i="4"/>
  <c r="BA12" i="4"/>
  <c r="AM12" i="4"/>
  <c r="AI12" i="4"/>
  <c r="AE12" i="4"/>
  <c r="W12" i="4"/>
  <c r="E12" i="4" s="1"/>
  <c r="G12" i="4"/>
  <c r="BN11" i="4"/>
  <c r="BM11" i="4"/>
  <c r="BL11" i="4"/>
  <c r="BK11" i="4"/>
  <c r="BI11" i="4"/>
  <c r="BH11" i="4"/>
  <c r="BG11" i="4"/>
  <c r="BE11" i="4"/>
  <c r="BD11" i="4"/>
  <c r="BC11" i="4"/>
  <c r="W11" i="4"/>
  <c r="E11" i="4" s="1"/>
  <c r="G11" i="4"/>
  <c r="BN10" i="4"/>
  <c r="BM10" i="4"/>
  <c r="BL10" i="4"/>
  <c r="BK10" i="4"/>
  <c r="BJ10" i="4"/>
  <c r="BI10" i="4"/>
  <c r="BH10" i="4"/>
  <c r="BG10" i="4"/>
  <c r="BF10" i="4"/>
  <c r="BE10" i="4"/>
  <c r="BD10" i="4"/>
  <c r="BA10" i="4"/>
  <c r="AM10" i="4"/>
  <c r="AI10" i="4"/>
  <c r="AE10" i="4"/>
  <c r="W10" i="4"/>
  <c r="E10" i="4" s="1"/>
  <c r="G10" i="4"/>
  <c r="BN9" i="4"/>
  <c r="BM9" i="4"/>
  <c r="BL9" i="4"/>
  <c r="BK9" i="4"/>
  <c r="BJ9" i="4"/>
  <c r="BI9" i="4"/>
  <c r="BH9" i="4"/>
  <c r="BG9" i="4"/>
  <c r="BF9" i="4"/>
  <c r="BE9" i="4"/>
  <c r="BD9" i="4"/>
  <c r="BC9" i="4"/>
  <c r="AI9" i="4"/>
  <c r="AA9" i="4"/>
  <c r="W9" i="4"/>
  <c r="E9" i="4" s="1"/>
  <c r="G9" i="4"/>
  <c r="BM8" i="4"/>
  <c r="BK8" i="4"/>
  <c r="BI8" i="4"/>
  <c r="BG8" i="4"/>
  <c r="BE8" i="4"/>
  <c r="BC8" i="4"/>
  <c r="BN8" i="4"/>
  <c r="BL8" i="4"/>
  <c r="BJ8" i="4"/>
  <c r="M294" i="2" s="1"/>
  <c r="BH8" i="4"/>
  <c r="BF8" i="4"/>
  <c r="BD8" i="4"/>
  <c r="W8" i="4"/>
  <c r="E8" i="4" s="1"/>
  <c r="G8" i="4"/>
  <c r="G34" i="4" s="1"/>
  <c r="AQ7" i="4"/>
  <c r="AQ34" i="4" s="1"/>
  <c r="AP7" i="4"/>
  <c r="AL7" i="4"/>
  <c r="AZ7" i="4" s="1"/>
  <c r="AK7" i="4"/>
  <c r="AY7" i="4" s="1"/>
  <c r="AJ7" i="4"/>
  <c r="AX7" i="4" s="1"/>
  <c r="AH7" i="4"/>
  <c r="AW7" i="4" s="1"/>
  <c r="AG7" i="4"/>
  <c r="AV7" i="4" s="1"/>
  <c r="AF7" i="4"/>
  <c r="AU7" i="4" s="1"/>
  <c r="AD7" i="4"/>
  <c r="AT7" i="4" s="1"/>
  <c r="AC7" i="4"/>
  <c r="AS7" i="4" s="1"/>
  <c r="AB7" i="4"/>
  <c r="AR7" i="4" s="1"/>
  <c r="W7" i="4"/>
  <c r="E7" i="4" s="1"/>
  <c r="G7" i="4"/>
  <c r="BG42" i="4" l="1"/>
  <c r="AH43" i="4"/>
  <c r="BO35" i="4"/>
  <c r="I10" i="2"/>
  <c r="BF42" i="4"/>
  <c r="AE24" i="4"/>
  <c r="AM24" i="4"/>
  <c r="AA24" i="4"/>
  <c r="Q10" i="2"/>
  <c r="BN42" i="4"/>
  <c r="P10" i="2"/>
  <c r="BM42" i="4"/>
  <c r="O10" i="2"/>
  <c r="BL42" i="4"/>
  <c r="N10" i="2"/>
  <c r="BK42" i="4"/>
  <c r="M10" i="2"/>
  <c r="BJ42" i="4"/>
  <c r="L10" i="2"/>
  <c r="BI42" i="4"/>
  <c r="K10" i="2"/>
  <c r="BH42" i="4"/>
  <c r="J10" i="2"/>
  <c r="AI24" i="4"/>
  <c r="AT34" i="4"/>
  <c r="AT43" i="4" s="1"/>
  <c r="AV34" i="4"/>
  <c r="AV43" i="4" s="1"/>
  <c r="AX34" i="4"/>
  <c r="AX43" i="4" s="1"/>
  <c r="AZ34" i="4"/>
  <c r="AZ43" i="4" s="1"/>
  <c r="AP34" i="4"/>
  <c r="AP43" i="4" s="1"/>
  <c r="AO34" i="4"/>
  <c r="AO43" i="4" s="1"/>
  <c r="W24" i="4"/>
  <c r="W34" i="4" s="1"/>
  <c r="E34" i="4" s="1"/>
  <c r="AE17" i="4"/>
  <c r="BA33" i="4"/>
  <c r="AM17" i="4"/>
  <c r="BO37" i="4"/>
  <c r="AA17" i="4"/>
  <c r="AI17" i="4"/>
  <c r="AB43" i="4"/>
  <c r="AD43" i="4"/>
  <c r="AJ43" i="4"/>
  <c r="AL43" i="4"/>
  <c r="F20" i="4"/>
  <c r="F26" i="4"/>
  <c r="F28" i="4"/>
  <c r="F19" i="4"/>
  <c r="F21" i="4"/>
  <c r="F27" i="4"/>
  <c r="J28" i="4"/>
  <c r="J24" i="4" s="1"/>
  <c r="BN24" i="4" s="1"/>
  <c r="BO21" i="4"/>
  <c r="AA11" i="4"/>
  <c r="BF11" i="4" s="1"/>
  <c r="F25" i="4"/>
  <c r="AM11" i="4"/>
  <c r="F23" i="4"/>
  <c r="AE11" i="4"/>
  <c r="BJ11" i="4" s="1"/>
  <c r="BO11" i="4" s="1"/>
  <c r="BJ7" i="4"/>
  <c r="F15" i="4"/>
  <c r="BO15" i="4"/>
  <c r="BO17" i="4"/>
  <c r="BO19" i="4"/>
  <c r="N28" i="4"/>
  <c r="N24" i="4" s="1"/>
  <c r="N34" i="4" s="1"/>
  <c r="X28" i="4"/>
  <c r="X24" i="4" s="1"/>
  <c r="X34" i="4" s="1"/>
  <c r="AC43" i="4"/>
  <c r="AG43" i="4"/>
  <c r="AK43" i="4"/>
  <c r="BC42" i="4"/>
  <c r="BE42" i="4"/>
  <c r="BD42" i="4"/>
  <c r="BO25" i="4"/>
  <c r="BO27" i="4"/>
  <c r="AI11" i="4"/>
  <c r="BO8" i="4"/>
  <c r="BI7" i="4"/>
  <c r="AU34" i="4"/>
  <c r="AU43" i="4" s="1"/>
  <c r="BK7" i="4"/>
  <c r="AW34" i="4"/>
  <c r="AW43" i="4" s="1"/>
  <c r="BM7" i="4"/>
  <c r="AY34" i="4"/>
  <c r="AY43" i="4" s="1"/>
  <c r="AR34" i="4"/>
  <c r="AR43" i="4" s="1"/>
  <c r="BF7" i="4"/>
  <c r="BC7" i="4"/>
  <c r="BG7" i="4"/>
  <c r="AS34" i="4"/>
  <c r="AS43" i="4" s="1"/>
  <c r="BA7" i="4"/>
  <c r="BN7" i="4"/>
  <c r="BO38" i="4"/>
  <c r="BE7" i="4"/>
  <c r="AQ43" i="4"/>
  <c r="BD7" i="4"/>
  <c r="BH7" i="4"/>
  <c r="BL7" i="4"/>
  <c r="BO9" i="4"/>
  <c r="BO13" i="4"/>
  <c r="BA42" i="4"/>
  <c r="BA9" i="4"/>
  <c r="BC10" i="4"/>
  <c r="BO10" i="4" s="1"/>
  <c r="BC12" i="4"/>
  <c r="BO12" i="4" s="1"/>
  <c r="BA13" i="4"/>
  <c r="BC14" i="4"/>
  <c r="BO14" i="4" s="1"/>
  <c r="BA15" i="4"/>
  <c r="BC16" i="4"/>
  <c r="BO16" i="4" s="1"/>
  <c r="BA17" i="4"/>
  <c r="BC18" i="4"/>
  <c r="BO18" i="4" s="1"/>
  <c r="BA19" i="4"/>
  <c r="BC20" i="4"/>
  <c r="BO20" i="4" s="1"/>
  <c r="BA21" i="4"/>
  <c r="BC23" i="4"/>
  <c r="BO23" i="4" s="1"/>
  <c r="BA25" i="4"/>
  <c r="BC26" i="4"/>
  <c r="BO26" i="4" s="1"/>
  <c r="BA27" i="4"/>
  <c r="BC33" i="4"/>
  <c r="BO33" i="4" s="1"/>
  <c r="BO36" i="4"/>
  <c r="BA39" i="4"/>
  <c r="BO40" i="4"/>
  <c r="AE9" i="4"/>
  <c r="AM9" i="4"/>
  <c r="AA10" i="4"/>
  <c r="F10" i="4" s="1"/>
  <c r="AA12" i="4"/>
  <c r="F12" i="4" s="1"/>
  <c r="AE13" i="4"/>
  <c r="F13" i="4" s="1"/>
  <c r="AA14" i="4"/>
  <c r="AI14" i="4"/>
  <c r="AA16" i="4"/>
  <c r="F16" i="4" s="1"/>
  <c r="AA18" i="4"/>
  <c r="F18" i="4" s="1"/>
  <c r="BC24" i="4" l="1"/>
  <c r="BO42" i="4"/>
  <c r="F24" i="4"/>
  <c r="BF24" i="4"/>
  <c r="BF34" i="4" s="1"/>
  <c r="AM7" i="4"/>
  <c r="AM34" i="4"/>
  <c r="F11" i="4"/>
  <c r="BK24" i="4"/>
  <c r="BK34" i="4" s="1"/>
  <c r="BJ24" i="4"/>
  <c r="BJ34" i="4" s="1"/>
  <c r="J34" i="4"/>
  <c r="BG24" i="4"/>
  <c r="BG34" i="4" s="1"/>
  <c r="F17" i="4"/>
  <c r="BL24" i="4"/>
  <c r="BL34" i="4" s="1"/>
  <c r="O9" i="2" s="1"/>
  <c r="BH24" i="4"/>
  <c r="BH34" i="4" s="1"/>
  <c r="BD24" i="4"/>
  <c r="BD34" i="4" s="1"/>
  <c r="G9" i="2" s="1"/>
  <c r="BM24" i="4"/>
  <c r="BM34" i="4" s="1"/>
  <c r="BI24" i="4"/>
  <c r="BI34" i="4" s="1"/>
  <c r="L9" i="2" s="1"/>
  <c r="BE24" i="4"/>
  <c r="BE34" i="4" s="1"/>
  <c r="AA7" i="4"/>
  <c r="BN34" i="4"/>
  <c r="BC34" i="4"/>
  <c r="F9" i="2" s="1"/>
  <c r="BA34" i="4"/>
  <c r="BA43" i="4" s="1"/>
  <c r="BO28" i="4"/>
  <c r="V28" i="4"/>
  <c r="V24" i="4" s="1"/>
  <c r="V34" i="4" s="1"/>
  <c r="Z28" i="4"/>
  <c r="Z24" i="4" s="1"/>
  <c r="Z34" i="4" s="1"/>
  <c r="F14" i="4"/>
  <c r="F9" i="4"/>
  <c r="AE7" i="4"/>
  <c r="AE34" i="4"/>
  <c r="AE43" i="4" s="1"/>
  <c r="AI34" i="4"/>
  <c r="AI43" i="4" s="1"/>
  <c r="AI7" i="4"/>
  <c r="BO7" i="4"/>
  <c r="AM43" i="4" l="1"/>
  <c r="I17" i="1" s="1"/>
  <c r="H17" i="1"/>
  <c r="F7" i="4"/>
  <c r="F34" i="4"/>
  <c r="BD43" i="4"/>
  <c r="I9" i="2"/>
  <c r="BF43" i="4"/>
  <c r="G17" i="1"/>
  <c r="BL43" i="4"/>
  <c r="BC43" i="4"/>
  <c r="BN43" i="4"/>
  <c r="Q9" i="2"/>
  <c r="BM43" i="4"/>
  <c r="P9" i="2"/>
  <c r="BK43" i="4"/>
  <c r="N9" i="2"/>
  <c r="BJ43" i="4"/>
  <c r="M9" i="2"/>
  <c r="BI43" i="4"/>
  <c r="BH43" i="4"/>
  <c r="K9" i="2"/>
  <c r="BG43" i="4"/>
  <c r="J9" i="2"/>
  <c r="BE43" i="4"/>
  <c r="H9" i="2"/>
  <c r="BO24" i="4"/>
  <c r="BO34" i="4" s="1"/>
  <c r="BO43" i="4" s="1"/>
  <c r="H34" i="4"/>
  <c r="G19" i="1" l="1"/>
  <c r="N21" i="3"/>
  <c r="N20" i="3"/>
  <c r="N19" i="3"/>
  <c r="N18" i="3"/>
  <c r="N17" i="3"/>
  <c r="N16" i="3"/>
  <c r="N15" i="3"/>
  <c r="N14" i="3"/>
  <c r="F13" i="3"/>
  <c r="F10" i="3" s="1"/>
  <c r="E13" i="3"/>
  <c r="E10" i="3" s="1"/>
  <c r="DY10" i="3"/>
  <c r="D10" i="3"/>
  <c r="DG10" i="3"/>
  <c r="DD10" i="3"/>
  <c r="DA10" i="3"/>
  <c r="CX10" i="3"/>
  <c r="CU10" i="3"/>
  <c r="CR10" i="3"/>
  <c r="CO10" i="3"/>
  <c r="CL10" i="3"/>
  <c r="CI10" i="3"/>
  <c r="BD10" i="3"/>
  <c r="BA10" i="3"/>
  <c r="AX10" i="3"/>
  <c r="AU10" i="3"/>
  <c r="AR10" i="3"/>
  <c r="AO10" i="3"/>
  <c r="AL10" i="3"/>
  <c r="AI10" i="3"/>
  <c r="AF10" i="3"/>
  <c r="AC10" i="3"/>
  <c r="Z10" i="3"/>
  <c r="W10" i="3"/>
  <c r="U10" i="3"/>
  <c r="DG1" i="3"/>
  <c r="DD1" i="3"/>
  <c r="DA1" i="3"/>
  <c r="CX1" i="3"/>
  <c r="CU1" i="3"/>
  <c r="CR1" i="3"/>
  <c r="CO1" i="3"/>
  <c r="CL1" i="3"/>
  <c r="CI1" i="3"/>
  <c r="Z1" i="3"/>
  <c r="W1" i="3"/>
  <c r="U1" i="3"/>
  <c r="BN10" i="3" l="1"/>
  <c r="BJ10" i="3"/>
  <c r="BR10" i="3"/>
  <c r="BL10" i="3"/>
  <c r="BP10" i="3"/>
  <c r="BT10" i="3"/>
  <c r="L10" i="3"/>
  <c r="N10" i="3"/>
  <c r="BK10" i="3"/>
  <c r="BM10" i="3"/>
  <c r="BO10" i="3"/>
  <c r="BQ10" i="3"/>
  <c r="BS10" i="3"/>
  <c r="BU10" i="3"/>
  <c r="H10" i="3"/>
  <c r="Q11" i="3" l="1"/>
  <c r="P11" i="3" s="1"/>
  <c r="BV10" i="3"/>
  <c r="V10" i="3"/>
  <c r="T11" i="3" l="1"/>
  <c r="T10" i="3" s="1"/>
  <c r="Q10" i="3"/>
  <c r="AV10" i="3"/>
  <c r="CV10" i="3"/>
  <c r="BB10" i="3"/>
  <c r="AP10" i="3"/>
  <c r="AJ10" i="3"/>
  <c r="AD10" i="3"/>
  <c r="X10" i="3"/>
  <c r="AY10" i="3"/>
  <c r="AM10" i="3"/>
  <c r="DE10" i="3"/>
  <c r="CM10" i="3"/>
  <c r="CP10" i="3"/>
  <c r="DB10" i="3"/>
  <c r="DH10" i="3"/>
  <c r="CJ10" i="3"/>
  <c r="AS10" i="3"/>
  <c r="AG10" i="3"/>
  <c r="DJ10" i="3"/>
  <c r="DJ11" i="3"/>
  <c r="CY10" i="3"/>
  <c r="CS10" i="3"/>
  <c r="BC10" i="3"/>
  <c r="AW10" i="3"/>
  <c r="AQ10" i="3"/>
  <c r="AK10" i="3"/>
  <c r="AE10" i="3"/>
  <c r="AA10" i="3"/>
  <c r="AZ10" i="3"/>
  <c r="AT10" i="3"/>
  <c r="AN10" i="3"/>
  <c r="AH10" i="3"/>
  <c r="BF10" i="3"/>
  <c r="BI10" i="3" s="1"/>
  <c r="DJ9" i="3" l="1"/>
  <c r="BE10" i="3"/>
  <c r="BG10" i="3" s="1"/>
  <c r="DU10" i="3"/>
  <c r="DT10" i="3"/>
  <c r="DP10" i="3"/>
  <c r="ED10" i="3"/>
  <c r="DO10" i="3"/>
  <c r="DW10" i="3"/>
  <c r="DS10" i="3"/>
  <c r="DQ10" i="3"/>
  <c r="DL10" i="3"/>
  <c r="DN10" i="3"/>
  <c r="DV10" i="3"/>
  <c r="DR10" i="3"/>
  <c r="DM10" i="3"/>
  <c r="EH10" i="3"/>
  <c r="CQ10" i="3"/>
  <c r="DC10" i="3"/>
  <c r="DZ10" i="3"/>
  <c r="EE10" i="3"/>
  <c r="EI10" i="3"/>
  <c r="Y10" i="3"/>
  <c r="CN10" i="3"/>
  <c r="CZ10" i="3"/>
  <c r="EA10" i="3"/>
  <c r="EB10" i="3"/>
  <c r="EF10" i="3"/>
  <c r="EJ10" i="3"/>
  <c r="CT10" i="3"/>
  <c r="DF10" i="3"/>
  <c r="EC10" i="3"/>
  <c r="EG10" i="3"/>
  <c r="AB10" i="3"/>
  <c r="CK10" i="3"/>
  <c r="CW10" i="3"/>
  <c r="DI10" i="3"/>
  <c r="EK10" i="3" l="1"/>
  <c r="BH10" i="3"/>
  <c r="DX10" i="3"/>
  <c r="DK9" i="3"/>
  <c r="M1" i="3"/>
  <c r="DJ2" i="3" l="1"/>
  <c r="J295" i="2"/>
  <c r="K295" i="2"/>
  <c r="N295" i="2"/>
  <c r="O295" i="2"/>
  <c r="P295" i="2"/>
  <c r="Q295" i="2"/>
  <c r="G295" i="2"/>
  <c r="H295" i="2"/>
  <c r="F295" i="2"/>
  <c r="F8" i="2"/>
  <c r="G8" i="2"/>
  <c r="H8" i="2"/>
  <c r="I8" i="2"/>
  <c r="J8" i="2"/>
  <c r="K8" i="2"/>
  <c r="L8" i="2"/>
  <c r="M8" i="2"/>
  <c r="N8" i="2"/>
  <c r="O8" i="2"/>
  <c r="P8" i="2"/>
  <c r="Q8" i="2"/>
  <c r="E10" i="2"/>
  <c r="E11" i="2"/>
  <c r="E12" i="2"/>
  <c r="E13" i="2"/>
  <c r="E14" i="2"/>
  <c r="E16" i="2"/>
  <c r="E17" i="2"/>
  <c r="E18" i="2"/>
  <c r="E19" i="2"/>
  <c r="F20" i="2"/>
  <c r="G20" i="2"/>
  <c r="H20" i="2"/>
  <c r="I20" i="2"/>
  <c r="J20" i="2"/>
  <c r="K20" i="2"/>
  <c r="L20" i="2"/>
  <c r="M20" i="2"/>
  <c r="N20" i="2"/>
  <c r="O20" i="2"/>
  <c r="P20" i="2"/>
  <c r="Q20" i="2"/>
  <c r="E21" i="2"/>
  <c r="E22" i="2"/>
  <c r="E23" i="2"/>
  <c r="E24" i="2"/>
  <c r="E25" i="2"/>
  <c r="E26" i="2"/>
  <c r="F27" i="2"/>
  <c r="G27" i="2"/>
  <c r="H27" i="2"/>
  <c r="I27" i="2"/>
  <c r="J27" i="2"/>
  <c r="K27" i="2"/>
  <c r="L27" i="2"/>
  <c r="M27" i="2"/>
  <c r="N27" i="2"/>
  <c r="O27" i="2"/>
  <c r="P27" i="2"/>
  <c r="Q27" i="2"/>
  <c r="E28" i="2"/>
  <c r="E29" i="2"/>
  <c r="E30" i="2"/>
  <c r="F31" i="2"/>
  <c r="G31" i="2"/>
  <c r="H31" i="2"/>
  <c r="I31" i="2"/>
  <c r="J31" i="2"/>
  <c r="K31" i="2"/>
  <c r="L31" i="2"/>
  <c r="M31" i="2"/>
  <c r="N31" i="2"/>
  <c r="O31" i="2"/>
  <c r="P31" i="2"/>
  <c r="Q31" i="2"/>
  <c r="E32" i="2"/>
  <c r="E33" i="2"/>
  <c r="E34" i="2"/>
  <c r="E35" i="2"/>
  <c r="E36" i="2"/>
  <c r="E37" i="2"/>
  <c r="E38" i="2"/>
  <c r="K293" i="2"/>
  <c r="M293" i="2"/>
  <c r="O293" i="2"/>
  <c r="Q293" i="2"/>
  <c r="L294" i="2"/>
  <c r="O294" i="2"/>
  <c r="Q294" i="2"/>
  <c r="E44" i="2"/>
  <c r="J51" i="2"/>
  <c r="A55" i="2"/>
  <c r="A56" i="2" s="1"/>
  <c r="A57" i="2" s="1"/>
  <c r="A58" i="2" s="1"/>
  <c r="E57" i="2"/>
  <c r="E58" i="2"/>
  <c r="E59" i="2"/>
  <c r="F63" i="2"/>
  <c r="F62" i="2" s="1"/>
  <c r="G63" i="2"/>
  <c r="G62" i="2" s="1"/>
  <c r="H63" i="2"/>
  <c r="H62" i="2" s="1"/>
  <c r="I63" i="2"/>
  <c r="I62" i="2" s="1"/>
  <c r="J63" i="2"/>
  <c r="J62" i="2" s="1"/>
  <c r="K63" i="2"/>
  <c r="K62" i="2" s="1"/>
  <c r="L63" i="2"/>
  <c r="L62" i="2" s="1"/>
  <c r="M63" i="2"/>
  <c r="M62" i="2" s="1"/>
  <c r="N63" i="2"/>
  <c r="N62" i="2" s="1"/>
  <c r="O63" i="2"/>
  <c r="O62" i="2" s="1"/>
  <c r="P63" i="2"/>
  <c r="P62" i="2" s="1"/>
  <c r="Q63" i="2"/>
  <c r="Q62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F64" i="2"/>
  <c r="E64" i="2" s="1"/>
  <c r="G64" i="2"/>
  <c r="H64" i="2"/>
  <c r="I64" i="2"/>
  <c r="J64" i="2"/>
  <c r="K64" i="2"/>
  <c r="L64" i="2"/>
  <c r="M64" i="2"/>
  <c r="N64" i="2"/>
  <c r="O64" i="2"/>
  <c r="P64" i="2"/>
  <c r="Q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F124" i="2"/>
  <c r="F123" i="2" s="1"/>
  <c r="G124" i="2"/>
  <c r="G123" i="2" s="1"/>
  <c r="H124" i="2"/>
  <c r="H123" i="2" s="1"/>
  <c r="I124" i="2"/>
  <c r="I123" i="2" s="1"/>
  <c r="J124" i="2"/>
  <c r="J123" i="2" s="1"/>
  <c r="K124" i="2"/>
  <c r="K123" i="2" s="1"/>
  <c r="L124" i="2"/>
  <c r="L123" i="2" s="1"/>
  <c r="M124" i="2"/>
  <c r="M123" i="2" s="1"/>
  <c r="N124" i="2"/>
  <c r="N123" i="2" s="1"/>
  <c r="O124" i="2"/>
  <c r="O123" i="2" s="1"/>
  <c r="P124" i="2"/>
  <c r="P123" i="2" s="1"/>
  <c r="Q124" i="2"/>
  <c r="Q123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F125" i="2"/>
  <c r="E125" i="2" s="1"/>
  <c r="G125" i="2"/>
  <c r="H125" i="2"/>
  <c r="I125" i="2"/>
  <c r="J125" i="2"/>
  <c r="K125" i="2"/>
  <c r="L125" i="2"/>
  <c r="M125" i="2"/>
  <c r="N125" i="2"/>
  <c r="O125" i="2"/>
  <c r="P125" i="2"/>
  <c r="Q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A186" i="2"/>
  <c r="A187" i="2" s="1"/>
  <c r="A188" i="2" s="1"/>
  <c r="A189" i="2" s="1"/>
  <c r="A190" i="2" s="1"/>
  <c r="A191" i="2" s="1"/>
  <c r="A192" i="2" s="1"/>
  <c r="A193" i="2" s="1"/>
  <c r="A195" i="2" s="1"/>
  <c r="E187" i="2"/>
  <c r="E184" i="2" s="1"/>
  <c r="E188" i="2"/>
  <c r="E189" i="2"/>
  <c r="E190" i="2"/>
  <c r="E191" i="2"/>
  <c r="E192" i="2"/>
  <c r="E193" i="2"/>
  <c r="E195" i="2"/>
  <c r="F197" i="2"/>
  <c r="F196" i="2" s="1"/>
  <c r="G197" i="2"/>
  <c r="G196" i="2" s="1"/>
  <c r="H197" i="2"/>
  <c r="H196" i="2" s="1"/>
  <c r="I197" i="2"/>
  <c r="I196" i="2" s="1"/>
  <c r="J197" i="2"/>
  <c r="J196" i="2" s="1"/>
  <c r="K197" i="2"/>
  <c r="K196" i="2" s="1"/>
  <c r="L197" i="2"/>
  <c r="L196" i="2" s="1"/>
  <c r="M197" i="2"/>
  <c r="M196" i="2" s="1"/>
  <c r="N197" i="2"/>
  <c r="N196" i="2" s="1"/>
  <c r="O197" i="2"/>
  <c r="O196" i="2" s="1"/>
  <c r="P197" i="2"/>
  <c r="P196" i="2" s="1"/>
  <c r="Q197" i="2"/>
  <c r="Q196" i="2" s="1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F198" i="2"/>
  <c r="E198" i="2" s="1"/>
  <c r="G198" i="2"/>
  <c r="H198" i="2"/>
  <c r="I198" i="2"/>
  <c r="J198" i="2"/>
  <c r="K198" i="2"/>
  <c r="L198" i="2"/>
  <c r="M198" i="2"/>
  <c r="N198" i="2"/>
  <c r="O198" i="2"/>
  <c r="P198" i="2"/>
  <c r="Q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E258" i="2"/>
  <c r="E259" i="2"/>
  <c r="E260" i="2"/>
  <c r="E261" i="2"/>
  <c r="E262" i="2"/>
  <c r="E263" i="2"/>
  <c r="E264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E266" i="2"/>
  <c r="E265" i="2" s="1"/>
  <c r="E267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E273" i="2"/>
  <c r="E274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E276" i="2"/>
  <c r="E277" i="2"/>
  <c r="E278" i="2"/>
  <c r="G292" i="2"/>
  <c r="H292" i="2"/>
  <c r="I292" i="2"/>
  <c r="J292" i="2"/>
  <c r="K292" i="2"/>
  <c r="L292" i="2"/>
  <c r="M292" i="2"/>
  <c r="N292" i="2"/>
  <c r="O292" i="2"/>
  <c r="P292" i="2"/>
  <c r="Q292" i="2"/>
  <c r="F293" i="2"/>
  <c r="G293" i="2"/>
  <c r="H293" i="2"/>
  <c r="I293" i="2"/>
  <c r="J293" i="2"/>
  <c r="F294" i="2"/>
  <c r="G294" i="2"/>
  <c r="H294" i="2"/>
  <c r="I294" i="2"/>
  <c r="J294" i="2"/>
  <c r="K294" i="2"/>
  <c r="N294" i="2"/>
  <c r="P294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G298" i="2"/>
  <c r="H298" i="2"/>
  <c r="I298" i="2"/>
  <c r="J298" i="2"/>
  <c r="K298" i="2"/>
  <c r="L298" i="2"/>
  <c r="M298" i="2"/>
  <c r="N298" i="2"/>
  <c r="O298" i="2"/>
  <c r="P298" i="2"/>
  <c r="Q298" i="2"/>
  <c r="E300" i="2"/>
  <c r="E53" i="2" l="1"/>
  <c r="I46" i="1"/>
  <c r="E295" i="2"/>
  <c r="G47" i="1"/>
  <c r="F268" i="2"/>
  <c r="F270" i="2" s="1"/>
  <c r="F279" i="2" s="1"/>
  <c r="F48" i="1"/>
  <c r="G268" i="2"/>
  <c r="G270" i="2" s="1"/>
  <c r="G279" i="2" s="1"/>
  <c r="I268" i="2"/>
  <c r="I270" i="2" s="1"/>
  <c r="I279" i="2" s="1"/>
  <c r="E257" i="2"/>
  <c r="F291" i="2"/>
  <c r="F299" i="2" s="1"/>
  <c r="E292" i="2"/>
  <c r="A59" i="2"/>
  <c r="A60" i="2" s="1"/>
  <c r="A61" i="2" s="1"/>
  <c r="E296" i="2"/>
  <c r="G46" i="1"/>
  <c r="I26" i="1"/>
  <c r="G26" i="1"/>
  <c r="H26" i="1"/>
  <c r="F26" i="1"/>
  <c r="F24" i="1"/>
  <c r="K51" i="2"/>
  <c r="K268" i="2" s="1"/>
  <c r="K270" i="2" s="1"/>
  <c r="K279" i="2" s="1"/>
  <c r="G39" i="2"/>
  <c r="Q51" i="2"/>
  <c r="Q268" i="2" s="1"/>
  <c r="Q270" i="2" s="1"/>
  <c r="Q279" i="2" s="1"/>
  <c r="O51" i="2"/>
  <c r="M51" i="2"/>
  <c r="F39" i="2"/>
  <c r="F49" i="1"/>
  <c r="I49" i="1"/>
  <c r="G49" i="1"/>
  <c r="I52" i="1"/>
  <c r="I48" i="1"/>
  <c r="G48" i="1"/>
  <c r="F47" i="1"/>
  <c r="H46" i="1"/>
  <c r="F46" i="1"/>
  <c r="P51" i="2"/>
  <c r="N51" i="2"/>
  <c r="N268" i="2" s="1"/>
  <c r="N270" i="2" s="1"/>
  <c r="N279" i="2" s="1"/>
  <c r="H48" i="1"/>
  <c r="I25" i="1"/>
  <c r="G25" i="1"/>
  <c r="F25" i="1"/>
  <c r="E25" i="1" s="1"/>
  <c r="J268" i="2"/>
  <c r="J270" i="2" s="1"/>
  <c r="J279" i="2" s="1"/>
  <c r="H268" i="2"/>
  <c r="H270" i="2" s="1"/>
  <c r="H279" i="2" s="1"/>
  <c r="H49" i="1"/>
  <c r="I53" i="1"/>
  <c r="G52" i="1"/>
  <c r="E41" i="2"/>
  <c r="E51" i="2" s="1"/>
  <c r="E268" i="2" s="1"/>
  <c r="E31" i="2"/>
  <c r="I51" i="1"/>
  <c r="G53" i="1"/>
  <c r="H53" i="1"/>
  <c r="F53" i="1"/>
  <c r="H52" i="1"/>
  <c r="F52" i="1"/>
  <c r="P293" i="2"/>
  <c r="I47" i="1" s="1"/>
  <c r="I45" i="1" s="1"/>
  <c r="N293" i="2"/>
  <c r="N291" i="2" s="1"/>
  <c r="N299" i="2" s="1"/>
  <c r="L293" i="2"/>
  <c r="L291" i="2" s="1"/>
  <c r="L299" i="2" s="1"/>
  <c r="E275" i="2"/>
  <c r="E272" i="2"/>
  <c r="E197" i="2"/>
  <c r="E196" i="2" s="1"/>
  <c r="E124" i="2"/>
  <c r="E123" i="2" s="1"/>
  <c r="L51" i="2"/>
  <c r="E27" i="2"/>
  <c r="E20" i="2"/>
  <c r="F51" i="1"/>
  <c r="F40" i="1" s="1"/>
  <c r="H51" i="1"/>
  <c r="Q291" i="2"/>
  <c r="Q299" i="2" s="1"/>
  <c r="O291" i="2"/>
  <c r="O299" i="2" s="1"/>
  <c r="M291" i="2"/>
  <c r="M299" i="2" s="1"/>
  <c r="K291" i="2"/>
  <c r="K299" i="2" s="1"/>
  <c r="J291" i="2"/>
  <c r="J299" i="2" s="1"/>
  <c r="I291" i="2"/>
  <c r="I299" i="2" s="1"/>
  <c r="H291" i="2"/>
  <c r="H299" i="2" s="1"/>
  <c r="G291" i="2"/>
  <c r="G299" i="2" s="1"/>
  <c r="E298" i="2"/>
  <c r="E297" i="2"/>
  <c r="E294" i="2"/>
  <c r="P39" i="2"/>
  <c r="N39" i="2"/>
  <c r="L39" i="2"/>
  <c r="J39" i="2"/>
  <c r="H39" i="2"/>
  <c r="Q39" i="2"/>
  <c r="O39" i="2"/>
  <c r="M39" i="2"/>
  <c r="K39" i="2"/>
  <c r="I39" i="2"/>
  <c r="E63" i="2"/>
  <c r="E62" i="2" s="1"/>
  <c r="E9" i="2"/>
  <c r="E8" i="2" s="1"/>
  <c r="E39" i="2" l="1"/>
  <c r="F28" i="1"/>
  <c r="E48" i="1"/>
  <c r="E46" i="1"/>
  <c r="G45" i="1"/>
  <c r="E52" i="1"/>
  <c r="E49" i="1"/>
  <c r="F45" i="1"/>
  <c r="E53" i="1"/>
  <c r="H280" i="2"/>
  <c r="I24" i="1"/>
  <c r="I28" i="1" s="1"/>
  <c r="K48" i="1"/>
  <c r="K53" i="1"/>
  <c r="G24" i="1"/>
  <c r="G28" i="1" s="1"/>
  <c r="K46" i="1"/>
  <c r="P268" i="2"/>
  <c r="P270" i="2" s="1"/>
  <c r="P279" i="2" s="1"/>
  <c r="P283" i="2" s="1"/>
  <c r="M268" i="2"/>
  <c r="M270" i="2" s="1"/>
  <c r="M279" i="2" s="1"/>
  <c r="K281" i="2"/>
  <c r="K283" i="2" s="1"/>
  <c r="H281" i="2"/>
  <c r="H283" i="2" s="1"/>
  <c r="E51" i="1"/>
  <c r="E40" i="1" s="1"/>
  <c r="E26" i="1"/>
  <c r="O268" i="2"/>
  <c r="O270" i="2" s="1"/>
  <c r="O279" i="2" s="1"/>
  <c r="F283" i="2"/>
  <c r="I283" i="2"/>
  <c r="J283" i="2"/>
  <c r="G283" i="2"/>
  <c r="P291" i="2"/>
  <c r="P299" i="2" s="1"/>
  <c r="E293" i="2"/>
  <c r="H24" i="1"/>
  <c r="H28" i="1" s="1"/>
  <c r="L268" i="2"/>
  <c r="L270" i="2" s="1"/>
  <c r="L279" i="2" s="1"/>
  <c r="H47" i="1"/>
  <c r="E47" i="1" s="1"/>
  <c r="E24" i="1" l="1"/>
  <c r="E45" i="1"/>
  <c r="E54" i="1" s="1"/>
  <c r="H45" i="1"/>
  <c r="H285" i="2"/>
  <c r="H286" i="2" s="1"/>
  <c r="K285" i="2"/>
  <c r="M283" i="2"/>
  <c r="N281" i="2"/>
  <c r="N283" i="2" s="1"/>
  <c r="E28" i="1"/>
  <c r="O283" i="2"/>
  <c r="Q281" i="2"/>
  <c r="Q283" i="2" s="1"/>
  <c r="E270" i="2"/>
  <c r="E279" i="2" s="1"/>
  <c r="L283" i="2"/>
  <c r="E291" i="2"/>
  <c r="E299" i="2" s="1"/>
  <c r="K45" i="1" l="1"/>
  <c r="N285" i="2"/>
  <c r="N286" i="2" s="1"/>
  <c r="Q285" i="2"/>
  <c r="Q286" i="2" s="1"/>
  <c r="K286" i="2"/>
  <c r="E281" i="2"/>
  <c r="E283" i="2" s="1"/>
  <c r="E286" i="2" l="1"/>
  <c r="E285" i="2"/>
  <c r="I19" i="1"/>
  <c r="I22" i="1" s="1"/>
  <c r="I30" i="1" s="1"/>
  <c r="H19" i="1"/>
  <c r="C22" i="1" l="1"/>
  <c r="D22" i="1"/>
  <c r="K60" i="1"/>
  <c r="K59" i="1"/>
  <c r="K58" i="1"/>
  <c r="E58" i="1"/>
  <c r="K57" i="1"/>
  <c r="K56" i="1"/>
  <c r="I50" i="1"/>
  <c r="I54" i="1" s="1"/>
  <c r="H50" i="1"/>
  <c r="H54" i="1" s="1"/>
  <c r="G50" i="1"/>
  <c r="G54" i="1" s="1"/>
  <c r="F50" i="1"/>
  <c r="F54" i="1" s="1"/>
  <c r="I40" i="1"/>
  <c r="I41" i="1" s="1"/>
  <c r="H40" i="1"/>
  <c r="H41" i="1" s="1"/>
  <c r="G40" i="1"/>
  <c r="G41" i="1" s="1"/>
  <c r="F41" i="1"/>
  <c r="E41" i="1"/>
  <c r="D41" i="1"/>
  <c r="I39" i="1"/>
  <c r="H39" i="1"/>
  <c r="G39" i="1"/>
  <c r="F39" i="1"/>
  <c r="F38" i="1"/>
  <c r="F37" i="1"/>
  <c r="G37" i="1" s="1"/>
  <c r="H37" i="1" s="1"/>
  <c r="I37" i="1" s="1"/>
  <c r="H36" i="1"/>
  <c r="C35" i="1"/>
  <c r="C34" i="1" s="1"/>
  <c r="K33" i="1"/>
  <c r="K29" i="1"/>
  <c r="D28" i="1"/>
  <c r="C28" i="1"/>
  <c r="K23" i="1"/>
  <c r="I21" i="1"/>
  <c r="H21" i="1"/>
  <c r="G21" i="1"/>
  <c r="H35" i="1"/>
  <c r="K39" i="1" l="1"/>
  <c r="K50" i="1"/>
  <c r="F36" i="1"/>
  <c r="G38" i="1"/>
  <c r="H38" i="1" s="1"/>
  <c r="I38" i="1" s="1"/>
  <c r="F21" i="1"/>
  <c r="K51" i="1"/>
  <c r="K49" i="1"/>
  <c r="K26" i="1"/>
  <c r="K47" i="1"/>
  <c r="H22" i="1"/>
  <c r="H30" i="1" s="1"/>
  <c r="C31" i="1"/>
  <c r="C32" i="1"/>
  <c r="C30" i="1"/>
  <c r="D32" i="1"/>
  <c r="D31" i="1"/>
  <c r="D30" i="1"/>
  <c r="K41" i="1"/>
  <c r="H34" i="1"/>
  <c r="G36" i="1"/>
  <c r="I36" i="1"/>
  <c r="K37" i="1"/>
  <c r="K40" i="1"/>
  <c r="K20" i="1"/>
  <c r="K25" i="1"/>
  <c r="K21" i="1" l="1"/>
  <c r="E21" i="1"/>
  <c r="K36" i="1"/>
  <c r="K38" i="1"/>
  <c r="I55" i="1"/>
  <c r="K24" i="1"/>
  <c r="G22" i="1"/>
  <c r="G30" i="1" s="1"/>
  <c r="F55" i="1"/>
  <c r="I35" i="1"/>
  <c r="I34" i="1"/>
  <c r="G35" i="1"/>
  <c r="G34" i="1"/>
  <c r="I32" i="1" l="1"/>
  <c r="I31" i="1"/>
  <c r="G55" i="1"/>
  <c r="G31" i="1" l="1"/>
  <c r="G32" i="1"/>
  <c r="K52" i="1"/>
  <c r="K54" i="1"/>
  <c r="K27" i="1" l="1"/>
  <c r="K28" i="1" l="1"/>
  <c r="H55" i="1"/>
  <c r="K55" i="1" s="1"/>
  <c r="H31" i="1" l="1"/>
  <c r="H32" i="1"/>
  <c r="AA34" i="4" l="1"/>
  <c r="AA43" i="4" s="1"/>
  <c r="F43" i="4" s="1"/>
  <c r="F17" i="1" l="1"/>
  <c r="E17" i="1" s="1"/>
  <c r="K17" i="1" l="1"/>
  <c r="K18" i="1"/>
  <c r="F35" i="1"/>
  <c r="K35" i="1" s="1"/>
  <c r="F34" i="1"/>
  <c r="K34" i="1" s="1"/>
  <c r="E18" i="1"/>
  <c r="E35" i="1" s="1"/>
  <c r="E34" i="1" s="1"/>
  <c r="F19" i="1"/>
  <c r="F22" i="1" s="1"/>
  <c r="F30" i="1" s="1"/>
  <c r="E19" i="1" l="1"/>
  <c r="E22" i="1" s="1"/>
  <c r="E30" i="1" s="1"/>
  <c r="K19" i="1"/>
  <c r="K30" i="1"/>
  <c r="K22" i="1"/>
  <c r="F31" i="1" l="1"/>
  <c r="K31" i="1" s="1"/>
  <c r="F32" i="1"/>
  <c r="K32" i="1" s="1"/>
  <c r="E31" i="1" l="1"/>
  <c r="E32" i="1"/>
</calcChain>
</file>

<file path=xl/sharedStrings.xml><?xml version="1.0" encoding="utf-8"?>
<sst xmlns="http://schemas.openxmlformats.org/spreadsheetml/2006/main" count="706" uniqueCount="304">
  <si>
    <t>"ПОГОДЖЕНО"</t>
  </si>
  <si>
    <t>"ЗАТВЕРДЖЕНО"</t>
  </si>
  <si>
    <t>Начальник УМГ</t>
  </si>
  <si>
    <t>тис.грн.</t>
  </si>
  <si>
    <t xml:space="preserve"> </t>
  </si>
  <si>
    <t>Основні фінансові показники підприємства</t>
  </si>
  <si>
    <t>1. Формування прибутку підприємства</t>
  </si>
  <si>
    <t>код 
рядка</t>
  </si>
  <si>
    <t>У тому числі</t>
  </si>
  <si>
    <t>I 
квартал</t>
  </si>
  <si>
    <t>II 
квартал</t>
  </si>
  <si>
    <t>III 
квартал</t>
  </si>
  <si>
    <t>IV 
квартал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</si>
  <si>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</si>
  <si>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</si>
  <si>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</si>
  <si>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</si>
  <si>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</si>
  <si>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</si>
  <si>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</si>
  <si>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</si>
  <si>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</si>
  <si>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</si>
  <si>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</si>
  <si>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</si>
  <si>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</si>
  <si>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</si>
  <si>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</si>
  <si>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</si>
  <si>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</si>
  <si>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</si>
  <si>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</si>
  <si>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</si>
  <si>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</si>
  <si>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</si>
  <si>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</si>
  <si>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</si>
  <si>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</si>
  <si>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</si>
  <si>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</si>
  <si>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</si>
  <si>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</si>
  <si>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</si>
  <si>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</si>
  <si>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</si>
  <si>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</si>
  <si>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</si>
  <si>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</si>
  <si>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</si>
  <si>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</si>
  <si>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</si>
  <si>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</si>
  <si>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</si>
  <si>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</si>
  <si>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</si>
  <si>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</si>
  <si>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015</t>
  </si>
  <si>
    <t>внески до Пенсійного фонду України</t>
  </si>
  <si>
    <t>015/1</t>
  </si>
  <si>
    <t>(тис.грн.)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</si>
  <si>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</si>
  <si>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</si>
  <si>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</si>
  <si>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</si>
  <si>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</si>
  <si>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</si>
  <si>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</si>
  <si>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</si>
  <si>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</si>
  <si>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</si>
  <si>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</si>
  <si>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</si>
  <si>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</si>
  <si>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</si>
  <si>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</si>
  <si>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</si>
  <si>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-</t>
  </si>
  <si>
    <t>Головний бухгалтер</t>
  </si>
  <si>
    <t>Економіст</t>
  </si>
  <si>
    <t>1</t>
  </si>
  <si>
    <t>Разом</t>
  </si>
  <si>
    <t>і</t>
  </si>
  <si>
    <t>а</t>
  </si>
  <si>
    <t>в</t>
  </si>
  <si>
    <t>о</t>
  </si>
  <si>
    <t>Ремонти та інші матеріальні затрати</t>
  </si>
  <si>
    <t>р</t>
  </si>
  <si>
    <t>е</t>
  </si>
  <si>
    <t>Матеріальні затрати</t>
  </si>
  <si>
    <t>м</t>
  </si>
  <si>
    <t>Назва статті</t>
  </si>
  <si>
    <t>III. Елементи операційних витрат</t>
  </si>
  <si>
    <t>Податок на прибуток</t>
  </si>
  <si>
    <t>Прибуток до оподаткування</t>
  </si>
  <si>
    <t>Інші витрати</t>
  </si>
  <si>
    <t>кредитні відсотки</t>
  </si>
  <si>
    <t>Інші фінансові витрати</t>
  </si>
  <si>
    <t>Прибуток від операційної діяльності</t>
  </si>
  <si>
    <t>Усього операційних витрат</t>
  </si>
  <si>
    <t>Расходы будущих периодов</t>
  </si>
  <si>
    <t>Корпоративні витрати (р)</t>
  </si>
  <si>
    <t>ЄСВ</t>
  </si>
  <si>
    <t>Лікарняні, одноразова матер.допомога</t>
  </si>
  <si>
    <t>списання ОЗ</t>
  </si>
  <si>
    <t>зб</t>
  </si>
  <si>
    <t>ЕСВ</t>
  </si>
  <si>
    <t xml:space="preserve">Заробітня плата </t>
  </si>
  <si>
    <t>Витрати на збут</t>
  </si>
  <si>
    <t>послуги банку (розрахунково-касове обслуговування)</t>
  </si>
  <si>
    <t>послуги зв"язку (телефон, інтернет)</t>
  </si>
  <si>
    <t>канцтовари, бланки б/о та звітності, поштові, періодичні видання, інформаційні та інші</t>
  </si>
  <si>
    <t>витрати на службові автомобілі (паливо, запчастини)</t>
  </si>
  <si>
    <t>електроенергія та ін комунальні платежі</t>
  </si>
  <si>
    <t>амортизація ОЗ / НМА</t>
  </si>
  <si>
    <t>Прочие 2</t>
  </si>
  <si>
    <t>Прочие 1</t>
  </si>
  <si>
    <t>зв</t>
  </si>
  <si>
    <t xml:space="preserve">утримання та обслуговування оргтехніки, ЕОМ та інші </t>
  </si>
  <si>
    <t>охоронні послуги ( Дозор)</t>
  </si>
  <si>
    <t>амортизація ОЗ</t>
  </si>
  <si>
    <t>Собівартість реалізованої продукції , товарів, робіт , послуг</t>
  </si>
  <si>
    <t>соб</t>
  </si>
  <si>
    <t>8</t>
  </si>
  <si>
    <t>7</t>
  </si>
  <si>
    <t>6</t>
  </si>
  <si>
    <t>матеріали</t>
  </si>
  <si>
    <t>5</t>
  </si>
  <si>
    <t>4</t>
  </si>
  <si>
    <t>3</t>
  </si>
  <si>
    <t>послуги інші</t>
  </si>
  <si>
    <t>2</t>
  </si>
  <si>
    <t>послуги МРЕМ</t>
  </si>
  <si>
    <t>ВИТРАТИ</t>
  </si>
  <si>
    <t>1.5</t>
  </si>
  <si>
    <t xml:space="preserve">Інші доходи </t>
  </si>
  <si>
    <t>1.4</t>
  </si>
  <si>
    <t xml:space="preserve">Інші фінансові доходи </t>
  </si>
  <si>
    <t>1.3</t>
  </si>
  <si>
    <t>Інші операційні доходи, без ПДВ</t>
  </si>
  <si>
    <t>1.2</t>
  </si>
  <si>
    <t>Поточний ремонт вулиць міста</t>
  </si>
  <si>
    <t>Ритуальні послуги</t>
  </si>
  <si>
    <t>Диспетчерські послуги, ринок</t>
  </si>
  <si>
    <t>Роботи з озеленення</t>
  </si>
  <si>
    <t>Транспортні послуги та інші</t>
  </si>
  <si>
    <t>Відновлювальні роботи</t>
  </si>
  <si>
    <t>Утримання об"єктів благоустрою (УМГ)</t>
  </si>
  <si>
    <t>Чистий дохід (виручка) від реалізації продукції   без ПДВ</t>
  </si>
  <si>
    <t>1.1</t>
  </si>
  <si>
    <t>ДОХОДИ</t>
  </si>
  <si>
    <t>I.</t>
  </si>
  <si>
    <t>У тому числі по місяцях</t>
  </si>
  <si>
    <t>Всего</t>
  </si>
  <si>
    <t>Показники</t>
  </si>
  <si>
    <t>Максимальна з/пл для нарахування ЄСВ.</t>
  </si>
  <si>
    <t xml:space="preserve"> ЄСВ, %</t>
  </si>
  <si>
    <t>ЗП</t>
  </si>
  <si>
    <t>Підрозділ</t>
  </si>
  <si>
    <t>Посада</t>
  </si>
  <si>
    <t>кількість по штатному  розпису</t>
  </si>
  <si>
    <t>ФИО</t>
  </si>
  <si>
    <t>Оклад</t>
  </si>
  <si>
    <t>премія від окладу</t>
  </si>
  <si>
    <t>інтенсивність від окладу</t>
  </si>
  <si>
    <t>класність від окладу</t>
  </si>
  <si>
    <t>от оклада</t>
  </si>
  <si>
    <t>Всього у місяць</t>
  </si>
  <si>
    <t>Итого</t>
  </si>
  <si>
    <t>грн.</t>
  </si>
  <si>
    <t>%%</t>
  </si>
  <si>
    <t>Коеф-т</t>
  </si>
  <si>
    <t>Зар пл</t>
  </si>
  <si>
    <t>Нарах-я</t>
  </si>
  <si>
    <t>Коєф-т</t>
  </si>
  <si>
    <t>зар пл</t>
  </si>
  <si>
    <t>нач</t>
  </si>
  <si>
    <t>Разом:</t>
  </si>
  <si>
    <t>Інженерно-технічні працівники</t>
  </si>
  <si>
    <t>Загально-виробничий персонал</t>
  </si>
  <si>
    <t>Планове  виробництво</t>
  </si>
  <si>
    <t>Планова реалізація</t>
  </si>
  <si>
    <t>у тому числі</t>
  </si>
  <si>
    <t>Планова реалізація з ПДВ</t>
  </si>
  <si>
    <t>Планова реалізація без ПДВ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</si>
  <si>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</si>
  <si>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</si>
  <si>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</si>
  <si>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</si>
  <si>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</si>
  <si>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</si>
  <si>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</si>
  <si>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>I   квартал</t>
  </si>
  <si>
    <t>II квартал</t>
  </si>
  <si>
    <t>III квартал</t>
  </si>
  <si>
    <t>IV квартал</t>
  </si>
  <si>
    <t>1.1.</t>
  </si>
  <si>
    <t>1.2.</t>
  </si>
  <si>
    <t>1.3.</t>
  </si>
  <si>
    <t>1.4.</t>
  </si>
  <si>
    <t>7.1.</t>
  </si>
  <si>
    <t>7.2.</t>
  </si>
  <si>
    <t>11.1.</t>
  </si>
  <si>
    <t>11.2.</t>
  </si>
  <si>
    <t>11.3.</t>
  </si>
  <si>
    <t>11.4.</t>
  </si>
  <si>
    <t>Всього по доходам (міський бюджет):</t>
  </si>
  <si>
    <t>2.</t>
  </si>
  <si>
    <t>Інші доходи</t>
  </si>
  <si>
    <t>2.1.</t>
  </si>
  <si>
    <t>2.2.</t>
  </si>
  <si>
    <t>2.3.</t>
  </si>
  <si>
    <t>2.4.</t>
  </si>
  <si>
    <t>2.5.</t>
  </si>
  <si>
    <t>Всього інші :</t>
  </si>
  <si>
    <t>РАЗОМ доходів :</t>
  </si>
  <si>
    <t>Сумма, грн.</t>
  </si>
  <si>
    <t>паливо/ел енергія</t>
  </si>
  <si>
    <t>11.5.</t>
  </si>
  <si>
    <t>11.6.</t>
  </si>
  <si>
    <r>
      <rPr>
        <b/>
        <u/>
        <sz val="11"/>
        <color theme="1"/>
        <rFont val="Times New Roman"/>
        <family val="1"/>
        <charset val="204"/>
      </rPr>
      <t>Доходи</t>
    </r>
    <r>
      <rPr>
        <b/>
        <sz val="11"/>
        <color theme="1"/>
        <rFont val="Times New Roman"/>
        <family val="1"/>
        <charset val="204"/>
      </rPr>
      <t xml:space="preserve">               </t>
    </r>
  </si>
  <si>
    <t>Матеріальна допомога на оздоровлення</t>
  </si>
  <si>
    <t>Всього на рік за посадовим окладом та надбавками до нього</t>
  </si>
  <si>
    <t>ВСЬОГО ФОП на рік</t>
  </si>
  <si>
    <t>середньомісячний коефіцієнт зайнятості працівників</t>
  </si>
  <si>
    <t>Бубряк Ю.В.</t>
  </si>
  <si>
    <t xml:space="preserve">запчастини </t>
  </si>
  <si>
    <t>Чистий прибуток/збиток</t>
  </si>
  <si>
    <t>Ел/енергія</t>
  </si>
  <si>
    <t>І.</t>
  </si>
  <si>
    <t>___________</t>
  </si>
  <si>
    <t xml:space="preserve">___________ </t>
  </si>
  <si>
    <t>Блінов А.Ю.</t>
  </si>
  <si>
    <t>Діус В.В.</t>
  </si>
  <si>
    <t>Плановий рік (усього) 2023</t>
  </si>
  <si>
    <t>Директор ММКП "РБУ"</t>
  </si>
  <si>
    <t>по ММКП "РБУ"</t>
  </si>
  <si>
    <t>Утримання доріг, тротуарів, мостів, шляхопроводів, зимове утримання доріг, в т.ч.:</t>
  </si>
  <si>
    <t>підмітання доріг, площ міста та прибордюрної лінії</t>
  </si>
  <si>
    <t>поточне утримання вулиць ( в т.ч. ямковий ремонт)</t>
  </si>
  <si>
    <t>прибирання та вивіз снігу (в т.ч. чергування)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</si>
  <si>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</si>
  <si>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</si>
  <si>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</si>
  <si>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</si>
  <si>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</si>
  <si>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</si>
  <si>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</si>
  <si>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Поточний ремонт вуличного освітлення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</si>
  <si>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</si>
  <si>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</si>
  <si>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</si>
  <si>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9.1.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</si>
  <si>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</si>
  <si>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</si>
  <si>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влаштування урн та лавок</t>
  </si>
  <si>
    <t>влаштування майданчиків</t>
  </si>
  <si>
    <t>охорона та утримання об"єктів комунальної власності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</si>
  <si>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</si>
  <si>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</si>
  <si>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</si>
  <si>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</si>
  <si>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Поточний ремонт  вулиць міста</t>
  </si>
  <si>
    <t>проведення аудиту з експертно-будівельно-технічних досліджень по об"єктах благоустрою</t>
  </si>
  <si>
    <t>Перепоховання останків жертв Другої світової війни</t>
  </si>
  <si>
    <t>2.6</t>
  </si>
  <si>
    <t>страхування/техогляд автомобілів</t>
  </si>
  <si>
    <t>відрядження</t>
  </si>
  <si>
    <t>Гонак Ю.І.</t>
  </si>
  <si>
    <t>Сабов Н.М.</t>
  </si>
  <si>
    <t>Одноразова премія по наказу</t>
  </si>
  <si>
    <t xml:space="preserve">послуги АВЕ </t>
  </si>
  <si>
    <t xml:space="preserve">паливо </t>
  </si>
  <si>
    <t>страхування авто</t>
  </si>
  <si>
    <t>інвентаризація вулиць</t>
  </si>
  <si>
    <t>Головний бухгалтер                              Гонак Ю.І.</t>
  </si>
  <si>
    <t>Економіст                                                Сабов Н.М.</t>
  </si>
  <si>
    <t>Директор                                           Діус В.В.</t>
  </si>
  <si>
    <t>Головний бухгалтер                          Гонак Ю.І.</t>
  </si>
  <si>
    <t>Економіст                                          Сабов Н.М.</t>
  </si>
  <si>
    <t>утримання пам"ятників,, ялинки, геонімів, обмежувачів руху, монтаж та демонтаж рекламних конструкцій, щитів та інвентаризація вулиць</t>
  </si>
  <si>
    <t>ФІНАНСОВИЙ ПЛАН ПІДПРИЄМСТВА на 2024 рік</t>
  </si>
  <si>
    <t>(прогноз)</t>
  </si>
  <si>
    <t>Фактичний рік (усього) 2022</t>
  </si>
  <si>
    <t>27905,3,</t>
  </si>
  <si>
    <t>Плановий рік (усього) 2024</t>
  </si>
  <si>
    <t>Додаток № 1 до фінансового плану на 2024 рік</t>
  </si>
  <si>
    <t>Доходи  по  ММКП "РБУ"  на 2024 рік</t>
  </si>
  <si>
    <t>Всього доходів за 2024 рік</t>
  </si>
  <si>
    <t>Розрахунок  планового фонду оплати праці  працівників  на 2024 рік</t>
  </si>
  <si>
    <t>витрати на службові автомобілі (паливо, запчастини) 203-80200/207-20200</t>
  </si>
  <si>
    <t>утримання та обслуговування оргтехніки, програмне забезпечення та інші (М.Е.док,  IS-PRO) 100000+10000</t>
  </si>
  <si>
    <t>2024 рік</t>
  </si>
  <si>
    <t>Витрати  по   ММКП "РБУ"  на 2024 р.</t>
  </si>
  <si>
    <t>Додаток № 2 до фінансового плану на 2024 р.</t>
  </si>
  <si>
    <t xml:space="preserve">Бригади </t>
  </si>
  <si>
    <t>(зі  змінами)</t>
  </si>
  <si>
    <t>Директор                                                              Діус В.В.</t>
  </si>
  <si>
    <t>Головний бухгалтер                                         Гонак Ю.І.</t>
  </si>
  <si>
    <t>Економіст                                                           Сабов Н.М.</t>
  </si>
  <si>
    <t xml:space="preserve">податок на нерухомість </t>
  </si>
  <si>
    <t>земельний податок та податок на нерухомість</t>
  </si>
  <si>
    <t>(зі змінами)</t>
  </si>
  <si>
    <t xml:space="preserve">     січня  2024р</t>
  </si>
  <si>
    <t xml:space="preserve">      січня   2024р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</si>
</sst>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\ _₴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6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</cellStyleXfs>
  <cellXfs count="350">
    <xf numFmtId="0" fontId="0" fillId="0" borderId="0" xfId="0"/>
    <xf numFmtId="0" fontId="0" fillId="2" borderId="0" xfId="0" applyFill="1"/>
    <xf numFmtId="164" fontId="0" fillId="2" borderId="0" xfId="0" applyNumberFormat="1" applyFill="1"/>
    <xf numFmtId="2" fontId="0" fillId="0" borderId="0" xfId="0" applyNumberFormat="1"/>
    <xf numFmtId="164" fontId="0" fillId="2" borderId="0" xfId="0" applyNumberFormat="1" applyFill="1" applyAlignment="1">
      <alignment vertical="center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3"/>
    <xf numFmtId="0" fontId="10" fillId="0" borderId="0" xfId="3" applyAlignment="1">
      <alignment horizontal="center"/>
    </xf>
    <xf numFmtId="1" fontId="10" fillId="0" borderId="0" xfId="3" applyNumberFormat="1"/>
    <xf numFmtId="1" fontId="7" fillId="0" borderId="0" xfId="3" applyNumberFormat="1" applyFont="1" applyAlignment="1">
      <alignment horizontal="center"/>
    </xf>
    <xf numFmtId="1" fontId="11" fillId="0" borderId="0" xfId="3" applyNumberFormat="1" applyFont="1"/>
    <xf numFmtId="0" fontId="11" fillId="0" borderId="0" xfId="3" applyFont="1"/>
    <xf numFmtId="0" fontId="7" fillId="0" borderId="0" xfId="3" applyFont="1" applyAlignment="1">
      <alignment horizontal="center"/>
    </xf>
    <xf numFmtId="0" fontId="10" fillId="11" borderId="7" xfId="3" applyFill="1" applyBorder="1"/>
    <xf numFmtId="10" fontId="10" fillId="11" borderId="7" xfId="3" applyNumberFormat="1" applyFill="1" applyBorder="1"/>
    <xf numFmtId="1" fontId="12" fillId="17" borderId="7" xfId="1" applyNumberFormat="1" applyFont="1" applyFill="1" applyBorder="1" applyAlignment="1" applyProtection="1">
      <alignment horizontal="center" vertical="center"/>
    </xf>
    <xf numFmtId="0" fontId="10" fillId="11" borderId="0" xfId="3" applyFill="1"/>
    <xf numFmtId="10" fontId="10" fillId="11" borderId="0" xfId="3" applyNumberFormat="1" applyFill="1"/>
    <xf numFmtId="1" fontId="12" fillId="17" borderId="0" xfId="1" applyNumberFormat="1" applyFont="1" applyFill="1" applyBorder="1" applyAlignment="1" applyProtection="1">
      <alignment horizontal="center" vertical="center"/>
    </xf>
    <xf numFmtId="0" fontId="10" fillId="0" borderId="7" xfId="3" applyBorder="1"/>
    <xf numFmtId="0" fontId="13" fillId="13" borderId="7" xfId="5" applyFont="1" applyFill="1" applyBorder="1" applyAlignment="1">
      <alignment horizontal="center" vertical="center" wrapText="1"/>
    </xf>
    <xf numFmtId="1" fontId="13" fillId="13" borderId="7" xfId="5" applyNumberFormat="1" applyFont="1" applyFill="1" applyBorder="1" applyAlignment="1">
      <alignment horizontal="center" vertical="center" wrapText="1"/>
    </xf>
    <xf numFmtId="1" fontId="5" fillId="17" borderId="7" xfId="3" applyNumberFormat="1" applyFont="1" applyFill="1" applyBorder="1" applyAlignment="1">
      <alignment horizontal="center" vertical="center"/>
    </xf>
    <xf numFmtId="0" fontId="13" fillId="13" borderId="14" xfId="5" applyFont="1" applyFill="1" applyBorder="1" applyAlignment="1">
      <alignment horizontal="center" vertical="center" wrapText="1"/>
    </xf>
    <xf numFmtId="0" fontId="13" fillId="18" borderId="7" xfId="5" applyFont="1" applyFill="1" applyBorder="1" applyAlignment="1">
      <alignment horizontal="center" vertical="center" wrapText="1"/>
    </xf>
    <xf numFmtId="0" fontId="13" fillId="13" borderId="0" xfId="5" applyFont="1" applyFill="1" applyAlignment="1">
      <alignment horizontal="center" vertical="center" wrapText="1"/>
    </xf>
    <xf numFmtId="1" fontId="5" fillId="17" borderId="0" xfId="4" applyNumberFormat="1" applyFont="1" applyFill="1" applyAlignment="1">
      <alignment horizontal="center" vertical="center"/>
    </xf>
    <xf numFmtId="0" fontId="10" fillId="0" borderId="0" xfId="4"/>
    <xf numFmtId="3" fontId="2" fillId="0" borderId="7" xfId="4" applyNumberFormat="1" applyFont="1" applyBorder="1"/>
    <xf numFmtId="0" fontId="13" fillId="18" borderId="0" xfId="5" applyFont="1" applyFill="1" applyAlignment="1">
      <alignment horizontal="center" vertical="center" wrapText="1"/>
    </xf>
    <xf numFmtId="1" fontId="10" fillId="0" borderId="7" xfId="3" applyNumberFormat="1" applyBorder="1"/>
    <xf numFmtId="0" fontId="10" fillId="3" borderId="7" xfId="3" applyFill="1" applyBorder="1"/>
    <xf numFmtId="49" fontId="6" fillId="0" borderId="0" xfId="1" applyNumberFormat="1" applyFont="1" applyFill="1" applyBorder="1" applyAlignment="1" applyProtection="1"/>
    <xf numFmtId="0" fontId="13" fillId="3" borderId="0" xfId="5" applyFont="1" applyFill="1" applyAlignment="1">
      <alignment horizontal="left" vertical="center" wrapText="1"/>
    </xf>
    <xf numFmtId="0" fontId="13" fillId="3" borderId="0" xfId="5" applyFont="1" applyFill="1" applyAlignment="1">
      <alignment horizontal="center" vertical="center" wrapText="1"/>
    </xf>
    <xf numFmtId="9" fontId="13" fillId="3" borderId="0" xfId="5" applyNumberFormat="1" applyFont="1" applyFill="1" applyAlignment="1">
      <alignment horizontal="center" vertical="center" wrapText="1"/>
    </xf>
    <xf numFmtId="3" fontId="3" fillId="3" borderId="0" xfId="5" applyNumberFormat="1" applyFill="1"/>
    <xf numFmtId="0" fontId="10" fillId="3" borderId="0" xfId="3" applyFill="1"/>
    <xf numFmtId="1" fontId="10" fillId="3" borderId="0" xfId="3" applyNumberFormat="1" applyFill="1"/>
    <xf numFmtId="0" fontId="10" fillId="3" borderId="0" xfId="3" applyFill="1" applyAlignment="1">
      <alignment wrapText="1"/>
    </xf>
    <xf numFmtId="2" fontId="1" fillId="8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8" borderId="17" xfId="0" applyNumberFormat="1" applyFont="1" applyFill="1" applyBorder="1" applyAlignment="1">
      <alignment horizontal="center" vertical="center"/>
    </xf>
    <xf numFmtId="2" fontId="1" fillId="8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0" xfId="0" applyFont="1" applyBorder="1"/>
    <xf numFmtId="0" fontId="16" fillId="0" borderId="21" xfId="0" applyFont="1" applyBorder="1" applyAlignment="1">
      <alignment horizontal="center"/>
    </xf>
    <xf numFmtId="0" fontId="16" fillId="0" borderId="0" xfId="0" applyFont="1"/>
    <xf numFmtId="0" fontId="15" fillId="14" borderId="7" xfId="0" applyFont="1" applyFill="1" applyBorder="1" applyAlignment="1">
      <alignment horizontal="center"/>
    </xf>
    <xf numFmtId="0" fontId="15" fillId="14" borderId="7" xfId="0" applyFont="1" applyFill="1" applyBorder="1" applyAlignment="1">
      <alignment horizontal="left"/>
    </xf>
    <xf numFmtId="0" fontId="15" fillId="14" borderId="7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right" wrapText="1"/>
    </xf>
    <xf numFmtId="0" fontId="15" fillId="3" borderId="23" xfId="0" applyFont="1" applyFill="1" applyBorder="1" applyAlignment="1">
      <alignment wrapText="1"/>
    </xf>
    <xf numFmtId="0" fontId="14" fillId="11" borderId="6" xfId="0" applyFont="1" applyFill="1" applyBorder="1"/>
    <xf numFmtId="0" fontId="16" fillId="19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1" fontId="14" fillId="11" borderId="6" xfId="2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3" borderId="6" xfId="0" applyFont="1" applyFill="1" applyBorder="1"/>
    <xf numFmtId="2" fontId="16" fillId="14" borderId="6" xfId="0" applyNumberFormat="1" applyFont="1" applyFill="1" applyBorder="1" applyAlignment="1">
      <alignment horizontal="right" vertical="center"/>
    </xf>
    <xf numFmtId="0" fontId="16" fillId="14" borderId="6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wrapText="1"/>
    </xf>
    <xf numFmtId="0" fontId="14" fillId="3" borderId="24" xfId="0" applyFont="1" applyFill="1" applyBorder="1" applyAlignment="1">
      <alignment wrapText="1"/>
    </xf>
    <xf numFmtId="0" fontId="14" fillId="11" borderId="7" xfId="0" applyFont="1" applyFill="1" applyBorder="1"/>
    <xf numFmtId="0" fontId="16" fillId="19" borderId="7" xfId="0" applyFont="1" applyFill="1" applyBorder="1" applyAlignment="1">
      <alignment horizontal="center" vertical="center"/>
    </xf>
    <xf numFmtId="2" fontId="16" fillId="14" borderId="7" xfId="0" applyNumberFormat="1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1" fontId="14" fillId="11" borderId="7" xfId="2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7" xfId="0" applyFont="1" applyFill="1" applyBorder="1"/>
    <xf numFmtId="2" fontId="14" fillId="3" borderId="7" xfId="0" applyNumberFormat="1" applyFont="1" applyFill="1" applyBorder="1"/>
    <xf numFmtId="4" fontId="14" fillId="3" borderId="7" xfId="0" applyNumberFormat="1" applyFont="1" applyFill="1" applyBorder="1"/>
    <xf numFmtId="0" fontId="14" fillId="3" borderId="24" xfId="0" applyFont="1" applyFill="1" applyBorder="1" applyAlignment="1">
      <alignment horizontal="right" wrapText="1"/>
    </xf>
    <xf numFmtId="0" fontId="16" fillId="14" borderId="7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right" wrapText="1"/>
    </xf>
    <xf numFmtId="0" fontId="15" fillId="3" borderId="24" xfId="0" applyFont="1" applyFill="1" applyBorder="1" applyAlignment="1">
      <alignment wrapText="1"/>
    </xf>
    <xf numFmtId="1" fontId="16" fillId="14" borderId="7" xfId="0" applyNumberFormat="1" applyFont="1" applyFill="1" applyBorder="1" applyAlignment="1">
      <alignment horizontal="center" vertical="center"/>
    </xf>
    <xf numFmtId="1" fontId="16" fillId="14" borderId="7" xfId="0" applyNumberFormat="1" applyFont="1" applyFill="1" applyBorder="1" applyAlignment="1">
      <alignment horizontal="right" vertical="center"/>
    </xf>
    <xf numFmtId="0" fontId="17" fillId="3" borderId="24" xfId="0" applyFont="1" applyFill="1" applyBorder="1" applyAlignment="1">
      <alignment wrapText="1"/>
    </xf>
    <xf numFmtId="1" fontId="14" fillId="3" borderId="7" xfId="0" applyNumberFormat="1" applyFont="1" applyFill="1" applyBorder="1"/>
    <xf numFmtId="0" fontId="14" fillId="3" borderId="32" xfId="0" applyFont="1" applyFill="1" applyBorder="1" applyAlignment="1">
      <alignment horizontal="right" wrapText="1"/>
    </xf>
    <xf numFmtId="0" fontId="14" fillId="3" borderId="32" xfId="0" applyFont="1" applyFill="1" applyBorder="1" applyAlignment="1">
      <alignment wrapText="1"/>
    </xf>
    <xf numFmtId="0" fontId="14" fillId="3" borderId="7" xfId="0" applyFont="1" applyFill="1" applyBorder="1" applyAlignment="1">
      <alignment horizontal="right" wrapText="1"/>
    </xf>
    <xf numFmtId="0" fontId="14" fillId="3" borderId="5" xfId="0" applyFont="1" applyFill="1" applyBorder="1" applyAlignment="1">
      <alignment wrapText="1"/>
    </xf>
    <xf numFmtId="0" fontId="14" fillId="11" borderId="22" xfId="0" applyFont="1" applyFill="1" applyBorder="1"/>
    <xf numFmtId="0" fontId="16" fillId="19" borderId="2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wrapText="1"/>
    </xf>
    <xf numFmtId="0" fontId="15" fillId="3" borderId="7" xfId="0" applyFont="1" applyFill="1" applyBorder="1"/>
    <xf numFmtId="3" fontId="15" fillId="14" borderId="7" xfId="0" applyNumberFormat="1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right"/>
    </xf>
    <xf numFmtId="0" fontId="18" fillId="3" borderId="7" xfId="0" applyFont="1" applyFill="1" applyBorder="1"/>
    <xf numFmtId="0" fontId="16" fillId="3" borderId="7" xfId="0" applyFont="1" applyFill="1" applyBorder="1" applyAlignment="1">
      <alignment horizontal="center" vertical="center"/>
    </xf>
    <xf numFmtId="1" fontId="14" fillId="3" borderId="7" xfId="2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left" vertical="center"/>
    </xf>
    <xf numFmtId="1" fontId="20" fillId="3" borderId="7" xfId="0" applyNumberFormat="1" applyFont="1" applyFill="1" applyBorder="1" applyAlignment="1">
      <alignment horizontal="left" vertical="center"/>
    </xf>
    <xf numFmtId="0" fontId="16" fillId="3" borderId="7" xfId="0" applyFont="1" applyFill="1" applyBorder="1"/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left"/>
    </xf>
    <xf numFmtId="0" fontId="15" fillId="3" borderId="0" xfId="0" applyFont="1" applyFill="1"/>
    <xf numFmtId="0" fontId="14" fillId="0" borderId="7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/>
    </xf>
    <xf numFmtId="165" fontId="16" fillId="5" borderId="7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0" fontId="16" fillId="5" borderId="7" xfId="0" applyFont="1" applyFill="1" applyBorder="1" applyAlignment="1">
      <alignment vertical="center" wrapText="1"/>
    </xf>
    <xf numFmtId="164" fontId="16" fillId="5" borderId="7" xfId="0" applyNumberFormat="1" applyFont="1" applyFill="1" applyBorder="1" applyAlignment="1">
      <alignment horizontal="center" vertical="center"/>
    </xf>
    <xf numFmtId="2" fontId="14" fillId="0" borderId="0" xfId="0" applyNumberFormat="1" applyFont="1"/>
    <xf numFmtId="0" fontId="15" fillId="10" borderId="10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4" fontId="14" fillId="3" borderId="7" xfId="0" applyNumberFormat="1" applyFont="1" applyFill="1" applyBorder="1" applyAlignment="1">
      <alignment vertical="center"/>
    </xf>
    <xf numFmtId="2" fontId="14" fillId="3" borderId="7" xfId="0" applyNumberFormat="1" applyFont="1" applyFill="1" applyBorder="1" applyAlignment="1">
      <alignment vertical="center"/>
    </xf>
    <xf numFmtId="0" fontId="16" fillId="8" borderId="16" xfId="0" applyFont="1" applyFill="1" applyBorder="1" applyAlignment="1">
      <alignment horizontal="center" vertical="center"/>
    </xf>
    <xf numFmtId="3" fontId="16" fillId="8" borderId="16" xfId="0" applyNumberFormat="1" applyFont="1" applyFill="1" applyBorder="1" applyAlignment="1">
      <alignment horizontal="center" vertical="center"/>
    </xf>
    <xf numFmtId="2" fontId="16" fillId="8" borderId="16" xfId="0" applyNumberFormat="1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2" fontId="16" fillId="3" borderId="7" xfId="0" applyNumberFormat="1" applyFont="1" applyFill="1" applyBorder="1"/>
    <xf numFmtId="2" fontId="16" fillId="0" borderId="7" xfId="0" applyNumberFormat="1" applyFont="1" applyBorder="1" applyAlignment="1">
      <alignment horizontal="center" vertical="center"/>
    </xf>
    <xf numFmtId="3" fontId="16" fillId="14" borderId="7" xfId="0" applyNumberFormat="1" applyFont="1" applyFill="1" applyBorder="1" applyAlignment="1">
      <alignment vertical="center"/>
    </xf>
    <xf numFmtId="4" fontId="16" fillId="14" borderId="7" xfId="0" applyNumberFormat="1" applyFont="1" applyFill="1" applyBorder="1"/>
    <xf numFmtId="4" fontId="16" fillId="14" borderId="7" xfId="0" applyNumberFormat="1" applyFont="1" applyFill="1" applyBorder="1" applyAlignment="1">
      <alignment horizontal="center"/>
    </xf>
    <xf numFmtId="0" fontId="14" fillId="0" borderId="0" xfId="3" applyFont="1"/>
    <xf numFmtId="0" fontId="14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8" fillId="13" borderId="7" xfId="5" applyFont="1" applyFill="1" applyBorder="1" applyAlignment="1">
      <alignment horizontal="left" vertical="center" wrapText="1"/>
    </xf>
    <xf numFmtId="0" fontId="8" fillId="3" borderId="7" xfId="5" applyFont="1" applyFill="1" applyBorder="1" applyAlignment="1">
      <alignment horizontal="left" vertical="center" wrapText="1"/>
    </xf>
    <xf numFmtId="0" fontId="23" fillId="3" borderId="7" xfId="5" applyFont="1" applyFill="1" applyBorder="1" applyAlignment="1">
      <alignment horizontal="center" vertical="center" wrapText="1"/>
    </xf>
    <xf numFmtId="3" fontId="23" fillId="3" borderId="7" xfId="5" applyNumberFormat="1" applyFont="1" applyFill="1" applyBorder="1" applyAlignment="1">
      <alignment horizontal="center" vertical="center" wrapText="1"/>
    </xf>
    <xf numFmtId="0" fontId="14" fillId="18" borderId="7" xfId="3" applyFont="1" applyFill="1" applyBorder="1" applyAlignment="1">
      <alignment wrapText="1"/>
    </xf>
    <xf numFmtId="9" fontId="23" fillId="11" borderId="7" xfId="5" applyNumberFormat="1" applyFont="1" applyFill="1" applyBorder="1" applyAlignment="1">
      <alignment horizontal="center" vertical="center" wrapText="1"/>
    </xf>
    <xf numFmtId="3" fontId="19" fillId="0" borderId="7" xfId="5" applyNumberFormat="1" applyFont="1" applyBorder="1"/>
    <xf numFmtId="9" fontId="23" fillId="3" borderId="7" xfId="5" applyNumberFormat="1" applyFont="1" applyFill="1" applyBorder="1" applyAlignment="1">
      <alignment horizontal="center" vertical="center" wrapText="1"/>
    </xf>
    <xf numFmtId="3" fontId="19" fillId="3" borderId="7" xfId="5" applyNumberFormat="1" applyFont="1" applyFill="1" applyBorder="1"/>
    <xf numFmtId="0" fontId="26" fillId="3" borderId="0" xfId="3" applyFont="1" applyFill="1" applyAlignment="1">
      <alignment wrapText="1"/>
    </xf>
    <xf numFmtId="0" fontId="23" fillId="3" borderId="0" xfId="5" applyFont="1" applyFill="1" applyAlignment="1">
      <alignment horizontal="left" vertical="center" wrapText="1"/>
    </xf>
    <xf numFmtId="0" fontId="23" fillId="3" borderId="0" xfId="5" applyFont="1" applyFill="1" applyAlignment="1">
      <alignment horizontal="center" vertical="center" wrapText="1"/>
    </xf>
    <xf numFmtId="9" fontId="23" fillId="3" borderId="0" xfId="5" applyNumberFormat="1" applyFont="1" applyFill="1" applyAlignment="1">
      <alignment horizontal="center" vertical="center" wrapText="1"/>
    </xf>
    <xf numFmtId="3" fontId="19" fillId="3" borderId="0" xfId="5" applyNumberFormat="1" applyFont="1" applyFill="1"/>
    <xf numFmtId="0" fontId="14" fillId="3" borderId="0" xfId="3" applyFont="1" applyFill="1" applyAlignment="1">
      <alignment wrapText="1"/>
    </xf>
    <xf numFmtId="0" fontId="20" fillId="0" borderId="7" xfId="5" applyFont="1" applyBorder="1" applyAlignment="1">
      <alignment horizontal="center" vertical="center" wrapText="1"/>
    </xf>
    <xf numFmtId="0" fontId="8" fillId="20" borderId="7" xfId="5" applyFont="1" applyFill="1" applyBorder="1" applyAlignment="1">
      <alignment horizontal="left" vertical="center" wrapText="1"/>
    </xf>
    <xf numFmtId="0" fontId="8" fillId="20" borderId="7" xfId="5" applyFont="1" applyFill="1" applyBorder="1" applyAlignment="1">
      <alignment horizontal="center" vertical="center" wrapText="1"/>
    </xf>
    <xf numFmtId="3" fontId="8" fillId="20" borderId="7" xfId="5" applyNumberFormat="1" applyFont="1" applyFill="1" applyBorder="1" applyAlignment="1">
      <alignment horizontal="center" vertical="center" wrapText="1"/>
    </xf>
    <xf numFmtId="2" fontId="23" fillId="20" borderId="7" xfId="5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 applyProtection="1">
      <alignment vertical="top"/>
    </xf>
    <xf numFmtId="0" fontId="19" fillId="3" borderId="0" xfId="1" applyNumberFormat="1" applyFont="1" applyFill="1" applyBorder="1" applyAlignment="1" applyProtection="1">
      <alignment vertical="top"/>
    </xf>
    <xf numFmtId="0" fontId="24" fillId="9" borderId="7" xfId="1" applyNumberFormat="1" applyFont="1" applyFill="1" applyBorder="1" applyAlignment="1" applyProtection="1">
      <alignment horizontal="center" vertical="center"/>
    </xf>
    <xf numFmtId="0" fontId="23" fillId="9" borderId="2" xfId="1" applyNumberFormat="1" applyFont="1" applyFill="1" applyBorder="1" applyAlignment="1" applyProtection="1">
      <alignment horizontal="center" vertical="top"/>
    </xf>
    <xf numFmtId="49" fontId="23" fillId="0" borderId="7" xfId="1" applyNumberFormat="1" applyFont="1" applyFill="1" applyBorder="1" applyAlignment="1" applyProtection="1">
      <alignment horizontal="center"/>
    </xf>
    <xf numFmtId="0" fontId="27" fillId="0" borderId="7" xfId="1" applyNumberFormat="1" applyFont="1" applyFill="1" applyBorder="1" applyAlignment="1" applyProtection="1">
      <alignment wrapText="1"/>
    </xf>
    <xf numFmtId="2" fontId="19" fillId="0" borderId="9" xfId="1" applyNumberFormat="1" applyFont="1" applyFill="1" applyBorder="1" applyAlignment="1" applyProtection="1">
      <alignment horizontal="center"/>
    </xf>
    <xf numFmtId="2" fontId="28" fillId="0" borderId="9" xfId="1" applyNumberFormat="1" applyFont="1" applyFill="1" applyBorder="1" applyAlignment="1" applyProtection="1">
      <alignment horizontal="center"/>
    </xf>
    <xf numFmtId="49" fontId="23" fillId="0" borderId="7" xfId="1" applyNumberFormat="1" applyFont="1" applyFill="1" applyBorder="1" applyAlignment="1" applyProtection="1"/>
    <xf numFmtId="1" fontId="23" fillId="7" borderId="7" xfId="1" applyNumberFormat="1" applyFont="1" applyFill="1" applyBorder="1" applyAlignment="1" applyProtection="1">
      <alignment horizontal="left" vertical="center" wrapText="1"/>
    </xf>
    <xf numFmtId="1" fontId="23" fillId="7" borderId="7" xfId="1" applyNumberFormat="1" applyFont="1" applyFill="1" applyBorder="1" applyAlignment="1" applyProtection="1">
      <alignment horizontal="center" vertical="center"/>
    </xf>
    <xf numFmtId="1" fontId="23" fillId="11" borderId="7" xfId="0" applyNumberFormat="1" applyFont="1" applyFill="1" applyBorder="1" applyAlignment="1">
      <alignment horizontal="left" vertical="center"/>
    </xf>
    <xf numFmtId="1" fontId="23" fillId="14" borderId="7" xfId="0" applyNumberFormat="1" applyFont="1" applyFill="1" applyBorder="1" applyAlignment="1">
      <alignment horizontal="center" vertical="center"/>
    </xf>
    <xf numFmtId="1" fontId="23" fillId="11" borderId="7" xfId="0" applyNumberFormat="1" applyFont="1" applyFill="1" applyBorder="1" applyAlignment="1">
      <alignment horizontal="center" vertical="center"/>
    </xf>
    <xf numFmtId="1" fontId="19" fillId="16" borderId="7" xfId="0" applyNumberFormat="1" applyFont="1" applyFill="1" applyBorder="1" applyAlignment="1">
      <alignment horizontal="center" vertical="center"/>
    </xf>
    <xf numFmtId="49" fontId="29" fillId="0" borderId="7" xfId="1" applyNumberFormat="1" applyFont="1" applyFill="1" applyBorder="1" applyAlignment="1" applyProtection="1"/>
    <xf numFmtId="1" fontId="23" fillId="16" borderId="7" xfId="0" applyNumberFormat="1" applyFont="1" applyFill="1" applyBorder="1" applyAlignment="1">
      <alignment horizontal="center" vertical="center"/>
    </xf>
    <xf numFmtId="1" fontId="23" fillId="7" borderId="7" xfId="1" applyNumberFormat="1" applyFont="1" applyFill="1" applyBorder="1" applyAlignment="1" applyProtection="1">
      <alignment horizontal="left" vertical="center"/>
    </xf>
    <xf numFmtId="1" fontId="23" fillId="7" borderId="3" xfId="1" applyNumberFormat="1" applyFont="1" applyFill="1" applyBorder="1" applyAlignment="1" applyProtection="1">
      <alignment horizontal="center" vertical="center"/>
    </xf>
    <xf numFmtId="0" fontId="30" fillId="0" borderId="0" xfId="1" applyNumberFormat="1" applyFont="1" applyFill="1" applyBorder="1" applyAlignment="1" applyProtection="1">
      <alignment vertical="top"/>
    </xf>
    <xf numFmtId="1" fontId="8" fillId="15" borderId="7" xfId="1" applyNumberFormat="1" applyFont="1" applyFill="1" applyBorder="1" applyAlignment="1" applyProtection="1">
      <alignment horizontal="center" vertical="center"/>
    </xf>
    <xf numFmtId="1" fontId="20" fillId="15" borderId="7" xfId="1" applyNumberFormat="1" applyFont="1" applyFill="1" applyBorder="1" applyAlignment="1" applyProtection="1">
      <alignment horizontal="center" vertical="center"/>
    </xf>
    <xf numFmtId="2" fontId="19" fillId="3" borderId="7" xfId="1" applyNumberFormat="1" applyFont="1" applyFill="1" applyBorder="1" applyAlignment="1" applyProtection="1">
      <alignment horizontal="center"/>
    </xf>
    <xf numFmtId="1" fontId="23" fillId="3" borderId="7" xfId="0" applyNumberFormat="1" applyFont="1" applyFill="1" applyBorder="1" applyAlignment="1">
      <alignment horizontal="center" vertical="center"/>
    </xf>
    <xf numFmtId="1" fontId="23" fillId="8" borderId="7" xfId="0" applyNumberFormat="1" applyFont="1" applyFill="1" applyBorder="1" applyAlignment="1">
      <alignment horizontal="center" vertical="center"/>
    </xf>
    <xf numFmtId="1" fontId="8" fillId="7" borderId="7" xfId="1" applyNumberFormat="1" applyFont="1" applyFill="1" applyBorder="1" applyAlignment="1" applyProtection="1">
      <alignment horizontal="center" vertical="center"/>
    </xf>
    <xf numFmtId="49" fontId="31" fillId="3" borderId="7" xfId="1" applyNumberFormat="1" applyFont="1" applyFill="1" applyBorder="1" applyAlignment="1" applyProtection="1"/>
    <xf numFmtId="1" fontId="31" fillId="3" borderId="7" xfId="1" applyNumberFormat="1" applyFont="1" applyFill="1" applyBorder="1" applyAlignment="1" applyProtection="1">
      <alignment horizontal="left" vertical="center"/>
    </xf>
    <xf numFmtId="1" fontId="31" fillId="3" borderId="7" xfId="1" applyNumberFormat="1" applyFont="1" applyFill="1" applyBorder="1" applyAlignment="1" applyProtection="1">
      <alignment horizontal="center" vertical="center"/>
    </xf>
    <xf numFmtId="1" fontId="8" fillId="7" borderId="7" xfId="1" applyNumberFormat="1" applyFont="1" applyFill="1" applyBorder="1" applyAlignment="1" applyProtection="1">
      <alignment horizontal="center" vertical="center" wrapText="1"/>
    </xf>
    <xf numFmtId="0" fontId="23" fillId="10" borderId="7" xfId="0" applyFont="1" applyFill="1" applyBorder="1" applyAlignment="1">
      <alignment horizontal="center" wrapText="1"/>
    </xf>
    <xf numFmtId="1" fontId="23" fillId="10" borderId="7" xfId="0" applyNumberFormat="1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wrapText="1"/>
    </xf>
    <xf numFmtId="0" fontId="32" fillId="11" borderId="7" xfId="1" applyNumberFormat="1" applyFont="1" applyFill="1" applyBorder="1" applyAlignment="1" applyProtection="1">
      <alignment horizontal="left" wrapText="1"/>
    </xf>
    <xf numFmtId="0" fontId="32" fillId="0" borderId="7" xfId="1" applyNumberFormat="1" applyFont="1" applyFill="1" applyBorder="1" applyAlignment="1" applyProtection="1">
      <alignment horizontal="left" wrapText="1"/>
    </xf>
    <xf numFmtId="0" fontId="33" fillId="10" borderId="7" xfId="1" applyNumberFormat="1" applyFont="1" applyFill="1" applyBorder="1" applyAlignment="1" applyProtection="1">
      <alignment horizontal="center" vertical="center" wrapText="1"/>
    </xf>
    <xf numFmtId="1" fontId="20" fillId="10" borderId="7" xfId="1" applyNumberFormat="1" applyFont="1" applyFill="1" applyBorder="1" applyAlignment="1" applyProtection="1">
      <alignment horizontal="center" vertical="center"/>
    </xf>
    <xf numFmtId="0" fontId="34" fillId="12" borderId="7" xfId="1" applyNumberFormat="1" applyFont="1" applyFill="1" applyBorder="1" applyAlignment="1" applyProtection="1">
      <alignment horizontal="center" vertical="center" wrapText="1"/>
    </xf>
    <xf numFmtId="1" fontId="8" fillId="3" borderId="7" xfId="1" applyNumberFormat="1" applyFont="1" applyFill="1" applyBorder="1" applyAlignment="1" applyProtection="1">
      <alignment horizontal="center" vertical="center" wrapText="1"/>
    </xf>
    <xf numFmtId="0" fontId="23" fillId="13" borderId="7" xfId="0" applyFont="1" applyFill="1" applyBorder="1" applyAlignment="1">
      <alignment horizontal="center" wrapText="1"/>
    </xf>
    <xf numFmtId="0" fontId="30" fillId="0" borderId="7" xfId="0" applyFont="1" applyBorder="1" applyAlignment="1">
      <alignment horizontal="right" wrapText="1"/>
    </xf>
    <xf numFmtId="0" fontId="19" fillId="0" borderId="0" xfId="1" applyNumberFormat="1" applyFont="1" applyFill="1" applyBorder="1" applyAlignment="1" applyProtection="1">
      <alignment horizontal="center" vertical="top"/>
    </xf>
    <xf numFmtId="2" fontId="19" fillId="3" borderId="0" xfId="1" applyNumberFormat="1" applyFont="1" applyFill="1" applyBorder="1" applyAlignment="1" applyProtection="1">
      <alignment horizontal="center"/>
    </xf>
    <xf numFmtId="49" fontId="23" fillId="0" borderId="0" xfId="1" applyNumberFormat="1" applyFont="1" applyFill="1" applyBorder="1" applyAlignment="1" applyProtection="1">
      <alignment vertical="top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23" fillId="8" borderId="7" xfId="1" applyNumberFormat="1" applyFont="1" applyFill="1" applyBorder="1" applyAlignment="1" applyProtection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 applyProtection="1">
      <alignment horizontal="center" vertical="center"/>
    </xf>
    <xf numFmtId="1" fontId="14" fillId="0" borderId="8" xfId="0" applyNumberFormat="1" applyFont="1" applyBorder="1" applyAlignment="1">
      <alignment vertical="top" wrapText="1"/>
    </xf>
    <xf numFmtId="1" fontId="8" fillId="3" borderId="7" xfId="0" applyNumberFormat="1" applyFont="1" applyFill="1" applyBorder="1" applyAlignment="1">
      <alignment horizontal="left" vertical="center"/>
    </xf>
    <xf numFmtId="3" fontId="15" fillId="21" borderId="7" xfId="0" applyNumberFormat="1" applyFont="1" applyFill="1" applyBorder="1" applyAlignment="1">
      <alignment horizontal="center" vertical="center"/>
    </xf>
    <xf numFmtId="0" fontId="16" fillId="21" borderId="7" xfId="0" applyFont="1" applyFill="1" applyBorder="1" applyAlignment="1">
      <alignment horizontal="center" vertical="center"/>
    </xf>
    <xf numFmtId="0" fontId="14" fillId="21" borderId="7" xfId="0" applyFont="1" applyFill="1" applyBorder="1"/>
    <xf numFmtId="1" fontId="14" fillId="21" borderId="7" xfId="2" applyNumberFormat="1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center" vertical="center"/>
    </xf>
    <xf numFmtId="3" fontId="15" fillId="21" borderId="7" xfId="0" applyNumberFormat="1" applyFont="1" applyFill="1" applyBorder="1" applyAlignment="1">
      <alignment vertical="center"/>
    </xf>
    <xf numFmtId="3" fontId="18" fillId="21" borderId="7" xfId="0" applyNumberFormat="1" applyFont="1" applyFill="1" applyBorder="1" applyAlignment="1">
      <alignment vertical="center"/>
    </xf>
    <xf numFmtId="3" fontId="15" fillId="0" borderId="7" xfId="4" applyNumberFormat="1" applyFont="1" applyBorder="1" applyAlignment="1">
      <alignment horizontal="center" vertical="center"/>
    </xf>
    <xf numFmtId="3" fontId="8" fillId="3" borderId="7" xfId="5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right"/>
    </xf>
    <xf numFmtId="0" fontId="8" fillId="3" borderId="0" xfId="5" applyFont="1" applyFill="1" applyAlignment="1">
      <alignment horizontal="left" vertical="center" wrapText="1"/>
    </xf>
    <xf numFmtId="0" fontId="8" fillId="3" borderId="0" xfId="5" applyFont="1" applyFill="1" applyAlignment="1">
      <alignment horizontal="center" vertical="center" wrapText="1"/>
    </xf>
    <xf numFmtId="9" fontId="8" fillId="3" borderId="0" xfId="5" applyNumberFormat="1" applyFont="1" applyFill="1" applyAlignment="1">
      <alignment horizontal="center" vertical="center" wrapText="1"/>
    </xf>
    <xf numFmtId="3" fontId="25" fillId="3" borderId="0" xfId="5" applyNumberFormat="1" applyFont="1" applyFill="1"/>
    <xf numFmtId="165" fontId="23" fillId="3" borderId="7" xfId="5" applyNumberFormat="1" applyFont="1" applyFill="1" applyBorder="1" applyAlignment="1">
      <alignment horizontal="center" vertical="center" wrapText="1"/>
    </xf>
    <xf numFmtId="164" fontId="23" fillId="3" borderId="7" xfId="5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wrapText="1"/>
    </xf>
    <xf numFmtId="0" fontId="20" fillId="8" borderId="7" xfId="0" applyFont="1" applyFill="1" applyBorder="1" applyAlignment="1">
      <alignment horizontal="center" wrapText="1"/>
    </xf>
    <xf numFmtId="1" fontId="20" fillId="7" borderId="7" xfId="1" applyNumberFormat="1" applyFont="1" applyFill="1" applyBorder="1" applyAlignment="1" applyProtection="1">
      <alignment horizontal="center" vertical="center" wrapText="1"/>
    </xf>
    <xf numFmtId="3" fontId="8" fillId="7" borderId="7" xfId="1" applyNumberFormat="1" applyFont="1" applyFill="1" applyBorder="1" applyAlignment="1" applyProtection="1">
      <alignment horizontal="center" vertical="center"/>
    </xf>
    <xf numFmtId="3" fontId="20" fillId="7" borderId="7" xfId="1" applyNumberFormat="1" applyFont="1" applyFill="1" applyBorder="1" applyAlignment="1" applyProtection="1">
      <alignment horizontal="center" vertical="center"/>
    </xf>
    <xf numFmtId="3" fontId="20" fillId="15" borderId="7" xfId="1" applyNumberFormat="1" applyFont="1" applyFill="1" applyBorder="1" applyAlignment="1" applyProtection="1">
      <alignment horizontal="center" vertical="center"/>
    </xf>
    <xf numFmtId="1" fontId="35" fillId="7" borderId="7" xfId="1" applyNumberFormat="1" applyFont="1" applyFill="1" applyBorder="1" applyAlignment="1" applyProtection="1">
      <alignment horizontal="center" vertical="center" wrapText="1"/>
    </xf>
    <xf numFmtId="0" fontId="36" fillId="0" borderId="7" xfId="1" applyNumberFormat="1" applyFont="1" applyFill="1" applyBorder="1" applyAlignment="1" applyProtection="1">
      <alignment horizontal="left" wrapText="1"/>
    </xf>
    <xf numFmtId="0" fontId="33" fillId="12" borderId="7" xfId="1" applyNumberFormat="1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>
      <alignment horizontal="center" wrapText="1"/>
    </xf>
    <xf numFmtId="0" fontId="37" fillId="0" borderId="7" xfId="0" applyFont="1" applyBorder="1" applyAlignment="1">
      <alignment horizontal="right" wrapText="1"/>
    </xf>
    <xf numFmtId="0" fontId="20" fillId="9" borderId="2" xfId="1" applyNumberFormat="1" applyFont="1" applyFill="1" applyBorder="1" applyAlignment="1" applyProtection="1">
      <alignment horizontal="center" vertical="top"/>
    </xf>
    <xf numFmtId="0" fontId="23" fillId="9" borderId="7" xfId="1" applyNumberFormat="1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8" fillId="3" borderId="0" xfId="1" applyNumberFormat="1" applyFont="1" applyFill="1" applyBorder="1" applyAlignment="1" applyProtection="1">
      <alignment horizontal="center" vertical="top"/>
    </xf>
    <xf numFmtId="1" fontId="5" fillId="3" borderId="7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right" vertical="center" wrapText="1"/>
    </xf>
    <xf numFmtId="0" fontId="14" fillId="3" borderId="22" xfId="0" applyFont="1" applyFill="1" applyBorder="1" applyAlignment="1">
      <alignment wrapText="1"/>
    </xf>
    <xf numFmtId="0" fontId="15" fillId="3" borderId="24" xfId="0" applyFont="1" applyFill="1" applyBorder="1" applyAlignment="1">
      <alignment vertical="center" wrapText="1"/>
    </xf>
    <xf numFmtId="0" fontId="8" fillId="3" borderId="0" xfId="5" applyFont="1" applyFill="1" applyAlignment="1">
      <alignment horizontal="left" vertical="center"/>
    </xf>
    <xf numFmtId="1" fontId="23" fillId="3" borderId="7" xfId="0" applyNumberFormat="1" applyFont="1" applyFill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6" fillId="3" borderId="7" xfId="0" applyNumberFormat="1" applyFont="1" applyFill="1" applyBorder="1"/>
    <xf numFmtId="166" fontId="20" fillId="15" borderId="7" xfId="1" applyNumberFormat="1" applyFont="1" applyFill="1" applyBorder="1" applyAlignment="1" applyProtection="1">
      <alignment horizontal="center" vertical="center"/>
    </xf>
    <xf numFmtId="166" fontId="19" fillId="3" borderId="7" xfId="1" applyNumberFormat="1" applyFont="1" applyFill="1" applyBorder="1" applyAlignment="1" applyProtection="1">
      <alignment horizontal="center"/>
    </xf>
    <xf numFmtId="166" fontId="20" fillId="10" borderId="7" xfId="1" applyNumberFormat="1" applyFont="1" applyFill="1" applyBorder="1" applyAlignment="1" applyProtection="1">
      <alignment horizontal="center" vertical="center"/>
    </xf>
    <xf numFmtId="166" fontId="23" fillId="3" borderId="7" xfId="0" applyNumberFormat="1" applyFont="1" applyFill="1" applyBorder="1" applyAlignment="1">
      <alignment horizontal="center" vertical="center"/>
    </xf>
    <xf numFmtId="166" fontId="23" fillId="7" borderId="7" xfId="1" applyNumberFormat="1" applyFont="1" applyFill="1" applyBorder="1" applyAlignment="1" applyProtection="1">
      <alignment horizontal="center" vertical="center"/>
    </xf>
    <xf numFmtId="166" fontId="23" fillId="14" borderId="7" xfId="0" applyNumberFormat="1" applyFont="1" applyFill="1" applyBorder="1" applyAlignment="1">
      <alignment horizontal="center" vertical="center"/>
    </xf>
    <xf numFmtId="166" fontId="23" fillId="12" borderId="7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vertical="top" wrapText="1"/>
    </xf>
    <xf numFmtId="0" fontId="14" fillId="3" borderId="24" xfId="0" applyFont="1" applyFill="1" applyBorder="1" applyAlignment="1">
      <alignment horizontal="right" vertical="center" wrapText="1"/>
    </xf>
    <xf numFmtId="166" fontId="19" fillId="0" borderId="0" xfId="1" applyNumberFormat="1" applyFont="1" applyFill="1" applyBorder="1" applyAlignment="1" applyProtection="1">
      <alignment horizontal="center" vertical="top"/>
    </xf>
    <xf numFmtId="166" fontId="19" fillId="3" borderId="0" xfId="1" applyNumberFormat="1" applyFont="1" applyFill="1" applyBorder="1" applyAlignment="1" applyProtection="1">
      <alignment horizontal="center"/>
    </xf>
    <xf numFmtId="9" fontId="19" fillId="0" borderId="0" xfId="1" applyNumberFormat="1" applyFont="1" applyFill="1" applyBorder="1" applyAlignment="1" applyProtection="1">
      <alignment vertical="top"/>
    </xf>
    <xf numFmtId="3" fontId="23" fillId="3" borderId="7" xfId="5" applyNumberFormat="1" applyFont="1" applyFill="1" applyBorder="1" applyAlignment="1">
      <alignment horizontal="center" vertical="center"/>
    </xf>
    <xf numFmtId="3" fontId="23" fillId="0" borderId="7" xfId="5" applyNumberFormat="1" applyFont="1" applyBorder="1" applyAlignment="1">
      <alignment horizontal="center" vertical="center"/>
    </xf>
    <xf numFmtId="0" fontId="38" fillId="0" borderId="0" xfId="0" applyFont="1"/>
    <xf numFmtId="3" fontId="16" fillId="14" borderId="7" xfId="0" applyNumberFormat="1" applyFont="1" applyFill="1" applyBorder="1" applyAlignment="1">
      <alignment horizontal="center" vertical="center"/>
    </xf>
    <xf numFmtId="2" fontId="16" fillId="14" borderId="6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9" borderId="13" xfId="1" applyNumberFormat="1" applyFont="1" applyFill="1" applyBorder="1" applyAlignment="1" applyProtection="1">
      <alignment horizontal="center" vertical="top"/>
    </xf>
    <xf numFmtId="0" fontId="20" fillId="9" borderId="12" xfId="1" applyNumberFormat="1" applyFont="1" applyFill="1" applyBorder="1" applyAlignment="1" applyProtection="1">
      <alignment horizontal="center" vertical="top"/>
    </xf>
    <xf numFmtId="0" fontId="20" fillId="9" borderId="11" xfId="1" applyNumberFormat="1" applyFont="1" applyFill="1" applyBorder="1" applyAlignment="1" applyProtection="1">
      <alignment horizontal="center" vertical="top"/>
    </xf>
    <xf numFmtId="0" fontId="20" fillId="9" borderId="10" xfId="1" applyNumberFormat="1" applyFont="1" applyFill="1" applyBorder="1" applyAlignment="1" applyProtection="1">
      <alignment horizontal="center" vertical="top"/>
    </xf>
    <xf numFmtId="0" fontId="8" fillId="9" borderId="13" xfId="1" applyNumberFormat="1" applyFont="1" applyFill="1" applyBorder="1" applyAlignment="1" applyProtection="1">
      <alignment horizontal="center" vertical="top"/>
    </xf>
    <xf numFmtId="0" fontId="8" fillId="9" borderId="12" xfId="1" applyNumberFormat="1" applyFont="1" applyFill="1" applyBorder="1" applyAlignment="1" applyProtection="1">
      <alignment horizontal="center" vertical="top"/>
    </xf>
    <xf numFmtId="0" fontId="8" fillId="9" borderId="11" xfId="1" applyNumberFormat="1" applyFont="1" applyFill="1" applyBorder="1" applyAlignment="1" applyProtection="1">
      <alignment horizontal="center" vertical="top"/>
    </xf>
    <xf numFmtId="0" fontId="8" fillId="9" borderId="10" xfId="1" applyNumberFormat="1" applyFont="1" applyFill="1" applyBorder="1" applyAlignment="1" applyProtection="1">
      <alignment horizontal="center" vertical="top"/>
    </xf>
    <xf numFmtId="0" fontId="20" fillId="9" borderId="3" xfId="1" applyNumberFormat="1" applyFont="1" applyFill="1" applyBorder="1" applyAlignment="1" applyProtection="1">
      <alignment horizontal="center" vertical="top"/>
    </xf>
    <xf numFmtId="0" fontId="20" fillId="9" borderId="4" xfId="1" applyNumberFormat="1" applyFont="1" applyFill="1" applyBorder="1" applyAlignment="1" applyProtection="1">
      <alignment horizontal="center" vertical="top"/>
    </xf>
    <xf numFmtId="0" fontId="23" fillId="9" borderId="3" xfId="1" applyNumberFormat="1" applyFont="1" applyFill="1" applyBorder="1" applyAlignment="1" applyProtection="1">
      <alignment horizontal="center" vertical="top"/>
    </xf>
    <xf numFmtId="0" fontId="23" fillId="9" borderId="5" xfId="1" applyNumberFormat="1" applyFont="1" applyFill="1" applyBorder="1" applyAlignment="1" applyProtection="1">
      <alignment horizontal="center" vertical="top"/>
    </xf>
    <xf numFmtId="0" fontId="18" fillId="0" borderId="0" xfId="0" applyFont="1" applyAlignment="1">
      <alignment horizontal="center" vertical="center"/>
    </xf>
    <xf numFmtId="0" fontId="10" fillId="0" borderId="7" xfId="3" applyBorder="1" applyAlignment="1">
      <alignment horizontal="center"/>
    </xf>
    <xf numFmtId="0" fontId="10" fillId="0" borderId="0" xfId="3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22" fillId="0" borderId="0" xfId="4" applyFont="1" applyAlignment="1">
      <alignment horizontal="center"/>
    </xf>
    <xf numFmtId="0" fontId="23" fillId="0" borderId="2" xfId="5" applyFont="1" applyBorder="1" applyAlignment="1">
      <alignment horizontal="center" vertical="center" wrapText="1"/>
    </xf>
    <xf numFmtId="0" fontId="23" fillId="0" borderId="14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20" fillId="0" borderId="6" xfId="5" applyFont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5" xfId="3" applyFont="1" applyBorder="1" applyAlignment="1">
      <alignment horizontal="center"/>
    </xf>
    <xf numFmtId="0" fontId="10" fillId="0" borderId="7" xfId="3" applyBorder="1" applyAlignment="1">
      <alignment horizontal="center" vertical="center"/>
    </xf>
    <xf numFmtId="0" fontId="10" fillId="0" borderId="15" xfId="3" applyBorder="1" applyAlignment="1">
      <alignment horizontal="center"/>
    </xf>
    <xf numFmtId="0" fontId="10" fillId="0" borderId="11" xfId="3" applyBorder="1" applyAlignment="1">
      <alignment horizontal="center"/>
    </xf>
    <xf numFmtId="0" fontId="10" fillId="0" borderId="2" xfId="3" applyBorder="1" applyAlignment="1">
      <alignment horizontal="center"/>
    </xf>
    <xf numFmtId="0" fontId="10" fillId="0" borderId="6" xfId="3" applyBorder="1" applyAlignment="1">
      <alignment horizontal="center"/>
    </xf>
  </cellXfs>
  <cellStyles count="6">
    <cellStyle name="Відсотковий" xfId="2" builtinId="5"/>
    <cellStyle name="Звичайний" xfId="0" builtinId="0"/>
    <cellStyle name="Обычный 2" xfId="4" xr:uid="{00000000-0005-0000-0000-000001000000}"/>
    <cellStyle name="Обычный 3" xfId="3" xr:uid="{00000000-0005-0000-0000-000002000000}"/>
    <cellStyle name="Обычный_Лист1" xfId="5" xr:uid="{00000000-0005-0000-0000-000003000000}"/>
    <cellStyle name="Обычный_план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BU_Gabriela\Documents\&#1055;&#1051;&#1040;&#1053;%20&#1044;&#1054;&#1061;&#1054;&#1044;&#1030;&#1042;%20&#1053;&#1040;%202021%20&#1088;&#1110;&#1082;\&#1050;&#1086;&#1096;&#1090;&#1086;&#1088;&#1080;&#1089;&#1080;%20&#1087;&#1110;&#1076;%20&#1092;&#1110;&#1085;&#1072;&#1085;&#1089;&#1091;&#1074;&#1072;&#1085;&#1085;&#1103;%20&#1085;&#1072;%202021&#1088;\2&#1074;%20&#1073;&#1102;&#1076;&#1078;&#1077;&#1090;%20&#1090;&#1072;%20&#1079;&#1074;&#1110;&#1090;&#1085;&#1110;&#1089;&#1090;&#1100;%202021-%20&#1079;&#1084;&#1110;&#108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0;&#1088;&#1082;&#1072;&#1076;&#1080;&#1081;\Documents\&#1060;&#1086;&#1088;&#1084;&#1099;\07.2020\&#1050;&#1055;8%20-%2010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 по пр-ции,работам, услугам"/>
      <sheetName val="Реализация"/>
      <sheetName val="Дт"/>
      <sheetName val="Себ-ть-покупка;С,ТМЦ,Тов.,ОС"/>
      <sheetName val="Кт"/>
      <sheetName val="15"/>
      <sheetName val="ЗН"/>
      <sheetName val="66, 65"/>
      <sheetName val="Ремонты"/>
      <sheetName val="Баланс"/>
      <sheetName val="БДР1"/>
      <sheetName val="641"/>
      <sheetName val="ПДВ"/>
      <sheetName val="Кредит"/>
      <sheetName val="БДДС1"/>
      <sheetName val="Проверка"/>
      <sheetName val="КПЕ"/>
      <sheetName val="ИНСТРУКЦИЯ"/>
      <sheetName val="Список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view="pageLayout" zoomScale="90" zoomScaleNormal="100" zoomScalePageLayoutView="90" workbookViewId="0">
      <selection activeCell="A10" sqref="A10:I10"/>
    </sheetView>
  </sheetViews>
  <sheetFormatPr defaultRowHeight="15" x14ac:dyDescent="0.25"/>
  <cols>
    <col min="1" max="1" width="34.7109375" customWidth="1"/>
    <col min="2" max="2" width="7.5703125" customWidth="1"/>
    <col min="3" max="3" width="13.7109375" customWidth="1"/>
    <col min="4" max="4" width="14.42578125" customWidth="1"/>
    <col min="5" max="5" width="13.42578125" customWidth="1"/>
    <col min="6" max="6" width="9.140625" customWidth="1"/>
    <col min="7" max="7" width="9.5703125" customWidth="1"/>
    <col min="8" max="8" width="10.140625" customWidth="1"/>
    <col min="9" max="9" width="10" customWidth="1"/>
    <col min="11" max="11" width="9.85546875" style="1" bestFit="1" customWidth="1"/>
  </cols>
  <sheetData>
    <row r="1" spans="1:10" ht="15.75" x14ac:dyDescent="0.25">
      <c r="A1" s="107" t="s">
        <v>0</v>
      </c>
      <c r="B1" s="49"/>
      <c r="C1" s="49"/>
      <c r="D1" s="49"/>
      <c r="E1" s="49"/>
      <c r="F1" s="49"/>
      <c r="G1" s="107" t="s">
        <v>1</v>
      </c>
      <c r="H1" s="107"/>
      <c r="I1" s="107"/>
    </row>
    <row r="2" spans="1:10" ht="4.5" customHeight="1" x14ac:dyDescent="0.25">
      <c r="A2" s="49"/>
      <c r="B2" s="49"/>
      <c r="C2" s="49"/>
      <c r="D2" s="49"/>
      <c r="E2" s="49"/>
      <c r="F2" s="49"/>
      <c r="G2" s="107"/>
      <c r="H2" s="107"/>
      <c r="I2" s="107"/>
    </row>
    <row r="3" spans="1:10" ht="16.5" customHeight="1" x14ac:dyDescent="0.25">
      <c r="A3" s="107" t="s">
        <v>2</v>
      </c>
      <c r="B3" s="107"/>
      <c r="C3" s="107"/>
      <c r="D3" s="107"/>
      <c r="E3" s="49"/>
      <c r="F3" s="49"/>
      <c r="G3" s="110" t="s">
        <v>234</v>
      </c>
      <c r="H3" s="110"/>
      <c r="I3" s="110"/>
    </row>
    <row r="4" spans="1:10" ht="23.25" customHeight="1" x14ac:dyDescent="0.25">
      <c r="A4" s="107" t="s">
        <v>231</v>
      </c>
      <c r="B4" s="107"/>
      <c r="C4" s="107"/>
      <c r="D4" s="107"/>
      <c r="E4" s="49"/>
      <c r="F4" s="49"/>
      <c r="G4" s="110" t="s">
        <v>232</v>
      </c>
      <c r="H4" s="110"/>
      <c r="I4" s="110"/>
    </row>
    <row r="5" spans="1:10" ht="15.75" x14ac:dyDescent="0.25">
      <c r="A5" s="107" t="s">
        <v>230</v>
      </c>
      <c r="B5" s="107"/>
      <c r="C5" s="107"/>
      <c r="D5" s="107"/>
      <c r="E5" s="49"/>
      <c r="F5" s="49"/>
      <c r="G5" s="110" t="s">
        <v>229</v>
      </c>
      <c r="H5" s="110"/>
      <c r="I5" s="110"/>
    </row>
    <row r="6" spans="1:10" ht="15.75" x14ac:dyDescent="0.25">
      <c r="A6" s="271" t="s">
        <v>302</v>
      </c>
      <c r="B6" s="107"/>
      <c r="C6" s="107"/>
      <c r="D6" s="107"/>
      <c r="E6" s="49"/>
      <c r="F6" s="49"/>
      <c r="G6" s="271" t="s">
        <v>303</v>
      </c>
      <c r="H6" s="107"/>
      <c r="I6" s="107"/>
    </row>
    <row r="7" spans="1:10" x14ac:dyDescent="0.25">
      <c r="A7" s="49"/>
      <c r="B7" s="49"/>
      <c r="C7" s="49"/>
      <c r="D7" s="49"/>
      <c r="E7" s="49"/>
      <c r="F7" s="49"/>
      <c r="G7" s="49"/>
      <c r="H7" s="49"/>
      <c r="I7" s="49"/>
    </row>
    <row r="8" spans="1:10" ht="18.75" x14ac:dyDescent="0.3">
      <c r="A8" s="275" t="s">
        <v>280</v>
      </c>
      <c r="B8" s="275"/>
      <c r="C8" s="275"/>
      <c r="D8" s="275"/>
      <c r="E8" s="275"/>
      <c r="F8" s="275"/>
      <c r="G8" s="275"/>
      <c r="H8" s="275"/>
      <c r="I8" s="275"/>
    </row>
    <row r="9" spans="1:10" ht="18.75" x14ac:dyDescent="0.3">
      <c r="A9" s="275" t="s">
        <v>235</v>
      </c>
      <c r="B9" s="275"/>
      <c r="C9" s="275"/>
      <c r="D9" s="275"/>
      <c r="E9" s="275"/>
      <c r="F9" s="275"/>
      <c r="G9" s="275"/>
      <c r="H9" s="275"/>
      <c r="I9" s="275"/>
    </row>
    <row r="10" spans="1:10" ht="20.25" customHeight="1" x14ac:dyDescent="0.25">
      <c r="A10" s="276" t="s">
        <v>295</v>
      </c>
      <c r="B10" s="276"/>
      <c r="C10" s="276"/>
      <c r="D10" s="276"/>
      <c r="E10" s="276"/>
      <c r="F10" s="276"/>
      <c r="G10" s="276"/>
      <c r="H10" s="276"/>
      <c r="I10" s="276"/>
    </row>
    <row r="11" spans="1:10" x14ac:dyDescent="0.25">
      <c r="A11" s="49"/>
      <c r="B11" s="49"/>
      <c r="C11" s="49"/>
      <c r="D11" s="49"/>
      <c r="E11" s="49"/>
      <c r="F11" s="49"/>
      <c r="G11" s="49"/>
      <c r="H11" s="49"/>
      <c r="I11" s="49" t="s">
        <v>3</v>
      </c>
      <c r="J11" t="s">
        <v>4</v>
      </c>
    </row>
    <row r="12" spans="1:10" x14ac:dyDescent="0.25">
      <c r="A12" s="277" t="s">
        <v>5</v>
      </c>
      <c r="B12" s="277"/>
      <c r="C12" s="277"/>
      <c r="D12" s="277"/>
      <c r="E12" s="277"/>
      <c r="F12" s="277"/>
      <c r="G12" s="277"/>
      <c r="H12" s="277"/>
      <c r="I12" s="277"/>
    </row>
    <row r="13" spans="1:10" x14ac:dyDescent="0.25">
      <c r="A13" s="278" t="s">
        <v>6</v>
      </c>
      <c r="B13" s="278"/>
      <c r="C13" s="278"/>
      <c r="D13" s="278"/>
      <c r="E13" s="278"/>
      <c r="F13" s="278"/>
      <c r="G13" s="278"/>
      <c r="H13" s="278"/>
      <c r="I13" s="278"/>
    </row>
    <row r="14" spans="1:10" ht="44.25" customHeight="1" x14ac:dyDescent="0.25">
      <c r="A14" s="288"/>
      <c r="B14" s="290" t="s">
        <v>7</v>
      </c>
      <c r="C14" s="290" t="s">
        <v>282</v>
      </c>
      <c r="D14" s="290" t="s">
        <v>233</v>
      </c>
      <c r="E14" s="290" t="s">
        <v>284</v>
      </c>
      <c r="F14" s="279" t="s">
        <v>8</v>
      </c>
      <c r="G14" s="280"/>
      <c r="H14" s="280"/>
      <c r="I14" s="281"/>
    </row>
    <row r="15" spans="1:10" ht="40.5" customHeight="1" x14ac:dyDescent="0.25">
      <c r="A15" s="289"/>
      <c r="B15" s="291"/>
      <c r="C15" s="292"/>
      <c r="D15" s="292"/>
      <c r="E15" s="292"/>
      <c r="F15" s="111" t="s">
        <v>9</v>
      </c>
      <c r="G15" s="111" t="s">
        <v>10</v>
      </c>
      <c r="H15" s="111" t="s">
        <v>11</v>
      </c>
      <c r="I15" s="111" t="s">
        <v>12</v>
      </c>
    </row>
    <row r="16" spans="1:10" ht="18" customHeight="1" x14ac:dyDescent="0.25">
      <c r="A16" s="112" t="s">
        <v>219</v>
      </c>
      <c r="B16" s="113"/>
      <c r="C16" s="113"/>
      <c r="D16" s="113"/>
      <c r="E16" s="113"/>
      <c r="F16" s="113"/>
      <c r="G16" s="113"/>
      <c r="H16" s="113"/>
      <c r="I16" s="113"/>
    </row>
    <row r="17" spans="1:11" ht="30" x14ac:dyDescent="0.25">
      <c r="A17" s="114" t="s">
        <v>13</v>
      </c>
      <c r="B17" s="115" t="s">
        <v>14</v>
      </c>
      <c r="C17" s="116">
        <v>115302.9</v>
      </c>
      <c r="D17" s="117">
        <f>195413.4</f>
        <v>195413.4</v>
      </c>
      <c r="E17" s="117">
        <f>F17+G17+H17+I17</f>
        <v>149223.9</v>
      </c>
      <c r="F17" s="116">
        <f>доходи!AA43/1000</f>
        <v>31829.268</v>
      </c>
      <c r="G17" s="116">
        <f>доходи!AE43/1000</f>
        <v>35622.004999999997</v>
      </c>
      <c r="H17" s="116">
        <f>доходи!AI43/1000-0.1</f>
        <v>41686.751000000004</v>
      </c>
      <c r="I17" s="116">
        <f>доходи!AM43/1000</f>
        <v>40085.875999999997</v>
      </c>
      <c r="K17" s="2">
        <f>SUM(F17:I17)</f>
        <v>149223.9</v>
      </c>
    </row>
    <row r="18" spans="1:11" x14ac:dyDescent="0.25">
      <c r="A18" s="114" t="s">
        <v>15</v>
      </c>
      <c r="B18" s="115" t="s">
        <v>16</v>
      </c>
      <c r="C18" s="116">
        <v>19197.400000000001</v>
      </c>
      <c r="D18" s="117">
        <f>32560.4</f>
        <v>32560.400000000001</v>
      </c>
      <c r="E18" s="117">
        <f>SUM(F18:I18)</f>
        <v>24854.5</v>
      </c>
      <c r="F18" s="116">
        <v>5300</v>
      </c>
      <c r="G18" s="116">
        <v>5934.1</v>
      </c>
      <c r="H18" s="116">
        <v>6943</v>
      </c>
      <c r="I18" s="116">
        <v>6677.4</v>
      </c>
      <c r="K18" s="2">
        <f>SUM(F18:I18)</f>
        <v>24854.5</v>
      </c>
    </row>
    <row r="19" spans="1:11" ht="30" x14ac:dyDescent="0.25">
      <c r="A19" s="114" t="s">
        <v>17</v>
      </c>
      <c r="B19" s="115" t="s">
        <v>18</v>
      </c>
      <c r="C19" s="117">
        <f t="shared" ref="C19:I19" si="0">C17-C18</f>
        <v>96105.5</v>
      </c>
      <c r="D19" s="117">
        <f t="shared" si="0"/>
        <v>162853</v>
      </c>
      <c r="E19" s="117">
        <f>E17-E18+0.1</f>
        <v>124369.5</v>
      </c>
      <c r="F19" s="117">
        <f>F17-F18</f>
        <v>26529.268</v>
      </c>
      <c r="G19" s="117">
        <f t="shared" si="0"/>
        <v>29687.904999999999</v>
      </c>
      <c r="H19" s="117">
        <f t="shared" si="0"/>
        <v>34743.751000000004</v>
      </c>
      <c r="I19" s="117">
        <f t="shared" si="0"/>
        <v>33408.475999999995</v>
      </c>
      <c r="K19" s="4">
        <f>SUM(F19:I19)</f>
        <v>124369.4</v>
      </c>
    </row>
    <row r="20" spans="1:11" x14ac:dyDescent="0.25">
      <c r="A20" s="114" t="s">
        <v>19</v>
      </c>
      <c r="B20" s="115" t="s">
        <v>20</v>
      </c>
      <c r="C20" s="116">
        <v>9640</v>
      </c>
      <c r="D20" s="116">
        <v>10480</v>
      </c>
      <c r="E20" s="116">
        <f>SUM(F20:I20)</f>
        <v>10480</v>
      </c>
      <c r="F20" s="117">
        <v>2620</v>
      </c>
      <c r="G20" s="117">
        <v>2620</v>
      </c>
      <c r="H20" s="117">
        <v>2620</v>
      </c>
      <c r="I20" s="117">
        <v>2620</v>
      </c>
      <c r="K20" s="2">
        <f t="shared" ref="K20:K60" si="1">SUM(F20:I20)</f>
        <v>10480</v>
      </c>
    </row>
    <row r="21" spans="1:11" x14ac:dyDescent="0.25">
      <c r="A21" s="114" t="s">
        <v>21</v>
      </c>
      <c r="B21" s="115" t="s">
        <v>22</v>
      </c>
      <c r="C21" s="116">
        <v>9640</v>
      </c>
      <c r="D21" s="116">
        <f>D20</f>
        <v>10480</v>
      </c>
      <c r="E21" s="116">
        <f>SUM(F21:I21)</f>
        <v>10480</v>
      </c>
      <c r="F21" s="117">
        <f t="shared" ref="F21:I21" si="2">F20</f>
        <v>2620</v>
      </c>
      <c r="G21" s="117">
        <f t="shared" si="2"/>
        <v>2620</v>
      </c>
      <c r="H21" s="117">
        <f t="shared" si="2"/>
        <v>2620</v>
      </c>
      <c r="I21" s="117">
        <f t="shared" si="2"/>
        <v>2620</v>
      </c>
      <c r="K21" s="2">
        <f t="shared" si="1"/>
        <v>10480</v>
      </c>
    </row>
    <row r="22" spans="1:11" x14ac:dyDescent="0.25">
      <c r="A22" s="112" t="s">
        <v>23</v>
      </c>
      <c r="B22" s="118" t="s">
        <v>24</v>
      </c>
      <c r="C22" s="119">
        <f>C19+C21</f>
        <v>105745.5</v>
      </c>
      <c r="D22" s="119">
        <f>D19+D21</f>
        <v>173333</v>
      </c>
      <c r="E22" s="119">
        <f>E19+E21</f>
        <v>134849.5</v>
      </c>
      <c r="F22" s="119">
        <f>F19+F20</f>
        <v>29149.268</v>
      </c>
      <c r="G22" s="119">
        <f>G19+G20</f>
        <v>32307.904999999999</v>
      </c>
      <c r="H22" s="119">
        <f>H19+H20</f>
        <v>37363.751000000004</v>
      </c>
      <c r="I22" s="119">
        <f>I19+I20</f>
        <v>36028.475999999995</v>
      </c>
      <c r="K22" s="2">
        <f t="shared" si="1"/>
        <v>134849.4</v>
      </c>
    </row>
    <row r="23" spans="1:11" x14ac:dyDescent="0.25">
      <c r="A23" s="120" t="s">
        <v>25</v>
      </c>
      <c r="B23" s="113"/>
      <c r="C23" s="113"/>
      <c r="D23" s="113"/>
      <c r="E23" s="113"/>
      <c r="F23" s="113"/>
      <c r="G23" s="113"/>
      <c r="H23" s="113"/>
      <c r="I23" s="113"/>
      <c r="K23" s="2">
        <f t="shared" si="1"/>
        <v>0</v>
      </c>
    </row>
    <row r="24" spans="1:11" ht="30" x14ac:dyDescent="0.25">
      <c r="A24" s="114" t="s">
        <v>26</v>
      </c>
      <c r="B24" s="115" t="s">
        <v>27</v>
      </c>
      <c r="C24" s="116">
        <v>79740.800000000003</v>
      </c>
      <c r="D24" s="116">
        <v>140130.5</v>
      </c>
      <c r="E24" s="117">
        <f>SUM(F24:I24)-0.1</f>
        <v>100892.067</v>
      </c>
      <c r="F24" s="117">
        <f>SUM('План витрат'!F51:H51)/1000</f>
        <v>22058.516</v>
      </c>
      <c r="G24" s="117">
        <f>SUM('План витрат'!I51:K51)/1000</f>
        <v>24215.416000000001</v>
      </c>
      <c r="H24" s="117">
        <f>SUM('План витрат'!L51:N51)/1000</f>
        <v>26459.011999999999</v>
      </c>
      <c r="I24" s="117">
        <f>SUM('План витрат'!O51:Q51)/1000</f>
        <v>28159.223000000002</v>
      </c>
      <c r="K24" s="2">
        <f t="shared" si="1"/>
        <v>100892.167</v>
      </c>
    </row>
    <row r="25" spans="1:11" x14ac:dyDescent="0.25">
      <c r="A25" s="114" t="s">
        <v>28</v>
      </c>
      <c r="B25" s="115" t="s">
        <v>29</v>
      </c>
      <c r="C25" s="116">
        <v>8464.5</v>
      </c>
      <c r="D25" s="117">
        <v>9168.1</v>
      </c>
      <c r="E25" s="117">
        <f>SUM(F25:I25)-0.1</f>
        <v>9626.8149999999987</v>
      </c>
      <c r="F25" s="117">
        <f>SUM('План витрат'!F184:H184)/1000</f>
        <v>2311.4349999999999</v>
      </c>
      <c r="G25" s="117">
        <f>SUM('План витрат'!I184:K184)/1000</f>
        <v>2499.33</v>
      </c>
      <c r="H25" s="117">
        <f>SUM('План витрат'!L184:N184)/1000</f>
        <v>2499.33</v>
      </c>
      <c r="I25" s="117">
        <f>SUM('План витрат'!O184:Q184)/1000</f>
        <v>2316.8200000000002</v>
      </c>
      <c r="K25" s="2">
        <f t="shared" si="1"/>
        <v>9626.9149999999991</v>
      </c>
    </row>
    <row r="26" spans="1:11" x14ac:dyDescent="0.25">
      <c r="A26" s="114" t="s">
        <v>30</v>
      </c>
      <c r="B26" s="115" t="s">
        <v>31</v>
      </c>
      <c r="C26" s="116">
        <v>4767.2</v>
      </c>
      <c r="D26" s="117">
        <v>5424.8</v>
      </c>
      <c r="E26" s="117">
        <f>SUM(F26:I26)</f>
        <v>6175.7860000000001</v>
      </c>
      <c r="F26" s="117">
        <f>SUM('План витрат'!F53:H53)/1000</f>
        <v>1476.35</v>
      </c>
      <c r="G26" s="117">
        <f>SUM('План витрат'!I53:K53)/1000</f>
        <v>1612.643</v>
      </c>
      <c r="H26" s="117">
        <f>SUM('План витрат'!L53:N53)/1000</f>
        <v>1612.643</v>
      </c>
      <c r="I26" s="117">
        <f>SUM('План витрат'!O53:Q53)/1000</f>
        <v>1474.15</v>
      </c>
      <c r="K26" s="2">
        <f t="shared" si="1"/>
        <v>6175.7860000000001</v>
      </c>
    </row>
    <row r="27" spans="1:11" x14ac:dyDescent="0.25">
      <c r="A27" s="114" t="s">
        <v>32</v>
      </c>
      <c r="B27" s="115" t="s">
        <v>33</v>
      </c>
      <c r="C27" s="116">
        <v>10219.200000000001</v>
      </c>
      <c r="D27" s="116">
        <v>11039.3</v>
      </c>
      <c r="E27" s="117">
        <f>SUM(F27:I27)</f>
        <v>10736.4</v>
      </c>
      <c r="F27" s="117">
        <f>F20+36.6</f>
        <v>2656.6</v>
      </c>
      <c r="G27" s="117">
        <f>G20+36.6</f>
        <v>2656.6</v>
      </c>
      <c r="H27" s="117">
        <f>H20+146.6</f>
        <v>2766.6</v>
      </c>
      <c r="I27" s="117">
        <f>I20+36.6</f>
        <v>2656.6</v>
      </c>
      <c r="K27" s="2">
        <f t="shared" si="1"/>
        <v>10736.4</v>
      </c>
    </row>
    <row r="28" spans="1:11" x14ac:dyDescent="0.25">
      <c r="A28" s="112" t="s">
        <v>34</v>
      </c>
      <c r="B28" s="118" t="s">
        <v>35</v>
      </c>
      <c r="C28" s="119">
        <f>ROUND((C24+C25+C27+C26),1)</f>
        <v>103191.7</v>
      </c>
      <c r="D28" s="119">
        <f>ROUND((D24+D25+D27+D26),1)</f>
        <v>165762.70000000001</v>
      </c>
      <c r="E28" s="119">
        <f>ROUND((E24+E25+E27+E26),1)</f>
        <v>127431.1</v>
      </c>
      <c r="F28" s="119">
        <f>F24+F25+F27+F26</f>
        <v>28502.900999999998</v>
      </c>
      <c r="G28" s="119">
        <f>G24+G25+G27+G26-0.1</f>
        <v>30983.888999999999</v>
      </c>
      <c r="H28" s="119">
        <f>H24+H25+H27+H26-0.1</f>
        <v>33337.484999999993</v>
      </c>
      <c r="I28" s="119">
        <f>I24+I25+I27+I26</f>
        <v>34606.793000000005</v>
      </c>
      <c r="K28" s="2">
        <f t="shared" si="1"/>
        <v>127431.068</v>
      </c>
    </row>
    <row r="29" spans="1:11" x14ac:dyDescent="0.25">
      <c r="A29" s="282" t="s">
        <v>36</v>
      </c>
      <c r="B29" s="283"/>
      <c r="C29" s="283"/>
      <c r="D29" s="283"/>
      <c r="E29" s="283"/>
      <c r="F29" s="283"/>
      <c r="G29" s="283"/>
      <c r="H29" s="283"/>
      <c r="I29" s="284"/>
      <c r="K29" s="2">
        <f t="shared" si="1"/>
        <v>0</v>
      </c>
    </row>
    <row r="30" spans="1:11" ht="30" x14ac:dyDescent="0.25">
      <c r="A30" s="114" t="s">
        <v>37</v>
      </c>
      <c r="B30" s="115" t="s">
        <v>38</v>
      </c>
      <c r="C30" s="117">
        <f t="shared" ref="C30:D30" si="3">C22-C28</f>
        <v>2553.8000000000029</v>
      </c>
      <c r="D30" s="117">
        <f t="shared" si="3"/>
        <v>7570.2999999999884</v>
      </c>
      <c r="E30" s="117">
        <f>E22-E28</f>
        <v>7418.3999999999942</v>
      </c>
      <c r="F30" s="117">
        <f>F22-F28</f>
        <v>646.36700000000201</v>
      </c>
      <c r="G30" s="117">
        <f>G22-G28</f>
        <v>1324.0159999999996</v>
      </c>
      <c r="H30" s="117">
        <f>H22-H28</f>
        <v>4026.2660000000105</v>
      </c>
      <c r="I30" s="117">
        <f>I22-I28</f>
        <v>1421.68299999999</v>
      </c>
      <c r="K30" s="2">
        <f>SUM(F30:I30)-0.1</f>
        <v>7418.2320000000018</v>
      </c>
    </row>
    <row r="31" spans="1:11" ht="30" x14ac:dyDescent="0.25">
      <c r="A31" s="114" t="s">
        <v>39</v>
      </c>
      <c r="B31" s="115" t="s">
        <v>40</v>
      </c>
      <c r="C31" s="117">
        <f t="shared" ref="C31" si="4">C22-C28</f>
        <v>2553.8000000000029</v>
      </c>
      <c r="D31" s="117">
        <f t="shared" ref="D31" si="5">D22-D28</f>
        <v>7570.2999999999884</v>
      </c>
      <c r="E31" s="117">
        <f>E22-E28</f>
        <v>7418.3999999999942</v>
      </c>
      <c r="F31" s="117">
        <f>F30</f>
        <v>646.36700000000201</v>
      </c>
      <c r="G31" s="117">
        <f t="shared" ref="G31:I31" si="6">G30</f>
        <v>1324.0159999999996</v>
      </c>
      <c r="H31" s="117">
        <f t="shared" si="6"/>
        <v>4026.2660000000105</v>
      </c>
      <c r="I31" s="117">
        <f t="shared" si="6"/>
        <v>1421.68299999999</v>
      </c>
      <c r="K31" s="2">
        <f>SUM(F31:I31)</f>
        <v>7418.3320000000022</v>
      </c>
    </row>
    <row r="32" spans="1:11" x14ac:dyDescent="0.25">
      <c r="A32" s="114" t="s">
        <v>41</v>
      </c>
      <c r="B32" s="115" t="s">
        <v>42</v>
      </c>
      <c r="C32" s="117">
        <f>C22-C28</f>
        <v>2553.8000000000029</v>
      </c>
      <c r="D32" s="117">
        <f t="shared" ref="D32" si="7">D22-D28</f>
        <v>7570.2999999999884</v>
      </c>
      <c r="E32" s="117">
        <f>E22-E28</f>
        <v>7418.3999999999942</v>
      </c>
      <c r="F32" s="117">
        <f>F30</f>
        <v>646.36700000000201</v>
      </c>
      <c r="G32" s="117">
        <f>G30</f>
        <v>1324.0159999999996</v>
      </c>
      <c r="H32" s="117">
        <f t="shared" ref="H32:I32" si="8">H30</f>
        <v>4026.2660000000105</v>
      </c>
      <c r="I32" s="117">
        <f t="shared" si="8"/>
        <v>1421.68299999999</v>
      </c>
      <c r="K32" s="2">
        <f t="shared" si="1"/>
        <v>7418.3320000000022</v>
      </c>
    </row>
    <row r="33" spans="1:11" ht="18.75" customHeight="1" x14ac:dyDescent="0.25">
      <c r="A33" s="285" t="s">
        <v>43</v>
      </c>
      <c r="B33" s="286"/>
      <c r="C33" s="286"/>
      <c r="D33" s="286"/>
      <c r="E33" s="286"/>
      <c r="F33" s="286"/>
      <c r="G33" s="286"/>
      <c r="H33" s="286"/>
      <c r="I33" s="286"/>
      <c r="K33" s="2">
        <f t="shared" si="1"/>
        <v>0</v>
      </c>
    </row>
    <row r="34" spans="1:11" ht="45" x14ac:dyDescent="0.25">
      <c r="A34" s="114" t="s">
        <v>44</v>
      </c>
      <c r="B34" s="115" t="s">
        <v>42</v>
      </c>
      <c r="C34" s="117">
        <f>C35</f>
        <v>19197.400000000001</v>
      </c>
      <c r="D34" s="117">
        <f>D35</f>
        <v>32560.400000000001</v>
      </c>
      <c r="E34" s="117">
        <f>E35</f>
        <v>24854.5</v>
      </c>
      <c r="F34" s="117">
        <f>F18</f>
        <v>5300</v>
      </c>
      <c r="G34" s="117">
        <f>G18</f>
        <v>5934.1</v>
      </c>
      <c r="H34" s="117">
        <f>H18</f>
        <v>6943</v>
      </c>
      <c r="I34" s="117">
        <f>I18</f>
        <v>6677.4</v>
      </c>
      <c r="K34" s="2">
        <f t="shared" si="1"/>
        <v>24854.5</v>
      </c>
    </row>
    <row r="35" spans="1:11" ht="45" x14ac:dyDescent="0.25">
      <c r="A35" s="114" t="s">
        <v>45</v>
      </c>
      <c r="B35" s="115" t="s">
        <v>46</v>
      </c>
      <c r="C35" s="117">
        <f>C18</f>
        <v>19197.400000000001</v>
      </c>
      <c r="D35" s="117">
        <f>D18</f>
        <v>32560.400000000001</v>
      </c>
      <c r="E35" s="117">
        <f t="shared" ref="E35:I35" si="9">E18</f>
        <v>24854.5</v>
      </c>
      <c r="F35" s="117">
        <f>F18</f>
        <v>5300</v>
      </c>
      <c r="G35" s="117">
        <f t="shared" si="9"/>
        <v>5934.1</v>
      </c>
      <c r="H35" s="117">
        <f t="shared" si="9"/>
        <v>6943</v>
      </c>
      <c r="I35" s="117">
        <f t="shared" si="9"/>
        <v>6677.4</v>
      </c>
      <c r="K35" s="2">
        <f t="shared" si="1"/>
        <v>24854.5</v>
      </c>
    </row>
    <row r="36" spans="1:11" x14ac:dyDescent="0.25">
      <c r="A36" s="114" t="s">
        <v>47</v>
      </c>
      <c r="B36" s="115" t="s">
        <v>48</v>
      </c>
      <c r="C36" s="116">
        <v>0</v>
      </c>
      <c r="D36" s="116">
        <v>0.8</v>
      </c>
      <c r="E36" s="116">
        <f>SUM(E37:E39)</f>
        <v>32.4</v>
      </c>
      <c r="F36" s="116">
        <f>E36/4</f>
        <v>8.1</v>
      </c>
      <c r="G36" s="116">
        <f>E36/4</f>
        <v>8.1</v>
      </c>
      <c r="H36" s="116">
        <f>E36/4</f>
        <v>8.1</v>
      </c>
      <c r="I36" s="116">
        <f>E36/4</f>
        <v>8.1</v>
      </c>
      <c r="K36" s="2">
        <f t="shared" si="1"/>
        <v>32.4</v>
      </c>
    </row>
    <row r="37" spans="1:11" x14ac:dyDescent="0.25">
      <c r="A37" s="114" t="s">
        <v>49</v>
      </c>
      <c r="B37" s="115" t="s">
        <v>50</v>
      </c>
      <c r="C37" s="121">
        <v>0</v>
      </c>
      <c r="D37" s="116">
        <v>0</v>
      </c>
      <c r="E37" s="116">
        <v>0</v>
      </c>
      <c r="F37" s="116">
        <f t="shared" ref="F37:I38" si="10">E37/4</f>
        <v>0</v>
      </c>
      <c r="G37" s="116">
        <f t="shared" si="10"/>
        <v>0</v>
      </c>
      <c r="H37" s="116">
        <f t="shared" si="10"/>
        <v>0</v>
      </c>
      <c r="I37" s="116">
        <f t="shared" si="10"/>
        <v>0</v>
      </c>
      <c r="K37" s="2">
        <f t="shared" si="1"/>
        <v>0</v>
      </c>
    </row>
    <row r="38" spans="1:11" x14ac:dyDescent="0.25">
      <c r="A38" s="114" t="s">
        <v>51</v>
      </c>
      <c r="B38" s="115" t="s">
        <v>52</v>
      </c>
      <c r="C38" s="121">
        <v>0</v>
      </c>
      <c r="D38" s="116">
        <v>0</v>
      </c>
      <c r="E38" s="116">
        <v>0</v>
      </c>
      <c r="F38" s="116">
        <f t="shared" si="10"/>
        <v>0</v>
      </c>
      <c r="G38" s="116">
        <f t="shared" si="10"/>
        <v>0</v>
      </c>
      <c r="H38" s="116">
        <f t="shared" si="10"/>
        <v>0</v>
      </c>
      <c r="I38" s="116">
        <f t="shared" si="10"/>
        <v>0</v>
      </c>
      <c r="K38" s="2">
        <f t="shared" si="1"/>
        <v>0</v>
      </c>
    </row>
    <row r="39" spans="1:11" ht="30" x14ac:dyDescent="0.25">
      <c r="A39" s="114" t="s">
        <v>300</v>
      </c>
      <c r="B39" s="115" t="s">
        <v>54</v>
      </c>
      <c r="C39" s="121">
        <v>0</v>
      </c>
      <c r="D39" s="116">
        <v>0.8</v>
      </c>
      <c r="E39" s="116">
        <v>32.4</v>
      </c>
      <c r="F39" s="116">
        <f>E39/4</f>
        <v>8.1</v>
      </c>
      <c r="G39" s="116">
        <f>E39/4</f>
        <v>8.1</v>
      </c>
      <c r="H39" s="116">
        <f>E39/4</f>
        <v>8.1</v>
      </c>
      <c r="I39" s="116">
        <f>E39/4</f>
        <v>8.1</v>
      </c>
      <c r="K39" s="2">
        <f t="shared" si="1"/>
        <v>32.4</v>
      </c>
    </row>
    <row r="40" spans="1:11" ht="30" x14ac:dyDescent="0.25">
      <c r="A40" s="114" t="s">
        <v>55</v>
      </c>
      <c r="B40" s="115" t="s">
        <v>56</v>
      </c>
      <c r="C40" s="117">
        <v>6754.8</v>
      </c>
      <c r="D40" s="117">
        <v>9494.7000000000007</v>
      </c>
      <c r="E40" s="117">
        <f>E51</f>
        <v>8530.0010000000002</v>
      </c>
      <c r="F40" s="117">
        <f>F51</f>
        <v>2023.9349999999999</v>
      </c>
      <c r="G40" s="117">
        <f t="shared" ref="G40:I40" si="11">G51</f>
        <v>2241.393</v>
      </c>
      <c r="H40" s="117">
        <f t="shared" si="11"/>
        <v>2241.393</v>
      </c>
      <c r="I40" s="117">
        <f t="shared" si="11"/>
        <v>2023.28</v>
      </c>
      <c r="K40" s="2">
        <f t="shared" si="1"/>
        <v>8530.0010000000002</v>
      </c>
    </row>
    <row r="41" spans="1:11" x14ac:dyDescent="0.25">
      <c r="A41" s="114" t="s">
        <v>57</v>
      </c>
      <c r="B41" s="115" t="s">
        <v>58</v>
      </c>
      <c r="C41" s="117">
        <f t="shared" ref="C41:I41" si="12">C40</f>
        <v>6754.8</v>
      </c>
      <c r="D41" s="117">
        <f t="shared" si="12"/>
        <v>9494.7000000000007</v>
      </c>
      <c r="E41" s="117">
        <f t="shared" si="12"/>
        <v>8530.0010000000002</v>
      </c>
      <c r="F41" s="117">
        <f t="shared" si="12"/>
        <v>2023.9349999999999</v>
      </c>
      <c r="G41" s="117">
        <f t="shared" si="12"/>
        <v>2241.393</v>
      </c>
      <c r="H41" s="117">
        <f t="shared" si="12"/>
        <v>2241.393</v>
      </c>
      <c r="I41" s="117">
        <f t="shared" si="12"/>
        <v>2023.28</v>
      </c>
      <c r="K41" s="2">
        <f t="shared" si="1"/>
        <v>8530.0010000000002</v>
      </c>
    </row>
    <row r="42" spans="1:11" x14ac:dyDescent="0.25">
      <c r="A42" s="49"/>
      <c r="B42" s="49"/>
      <c r="C42" s="49"/>
      <c r="D42" s="49"/>
      <c r="E42" s="49"/>
      <c r="F42" s="49"/>
      <c r="G42" s="49"/>
      <c r="H42" s="49"/>
      <c r="I42" s="49"/>
      <c r="K42"/>
    </row>
    <row r="43" spans="1:11" x14ac:dyDescent="0.25">
      <c r="A43" s="49"/>
      <c r="B43" s="49"/>
      <c r="C43" s="49"/>
      <c r="D43" s="49"/>
      <c r="E43" s="49"/>
      <c r="F43" s="49"/>
      <c r="G43" s="49"/>
      <c r="H43" s="49"/>
      <c r="I43" s="49" t="s">
        <v>59</v>
      </c>
      <c r="K43"/>
    </row>
    <row r="44" spans="1:11" ht="19.5" customHeight="1" x14ac:dyDescent="0.25">
      <c r="A44" s="285" t="s">
        <v>60</v>
      </c>
      <c r="B44" s="286"/>
      <c r="C44" s="286"/>
      <c r="D44" s="286"/>
      <c r="E44" s="286"/>
      <c r="F44" s="286"/>
      <c r="G44" s="286"/>
      <c r="H44" s="286"/>
      <c r="I44" s="287"/>
      <c r="K44"/>
    </row>
    <row r="45" spans="1:11" ht="30" x14ac:dyDescent="0.25">
      <c r="A45" s="114" t="s">
        <v>61</v>
      </c>
      <c r="B45" s="115" t="s">
        <v>14</v>
      </c>
      <c r="C45" s="117">
        <v>53525.5</v>
      </c>
      <c r="D45" s="117">
        <v>100384.6</v>
      </c>
      <c r="E45" s="117">
        <f>SUM(E46:E48)+0.1</f>
        <v>67447.984000000011</v>
      </c>
      <c r="F45" s="117">
        <f>SUM(F46:F48)+0.1</f>
        <v>13512.896000000001</v>
      </c>
      <c r="G45" s="117">
        <f>SUM(G46:G48)</f>
        <v>15613.696</v>
      </c>
      <c r="H45" s="117">
        <f>SUM(H46:H48)</f>
        <v>17857.290999999997</v>
      </c>
      <c r="I45" s="117">
        <f>SUM(I46:I48)</f>
        <v>20464.101000000002</v>
      </c>
      <c r="K45" s="2">
        <f>SUM(F45:I45)</f>
        <v>67447.983999999997</v>
      </c>
    </row>
    <row r="46" spans="1:11" ht="30" x14ac:dyDescent="0.25">
      <c r="A46" s="114" t="s">
        <v>62</v>
      </c>
      <c r="B46" s="115" t="s">
        <v>63</v>
      </c>
      <c r="C46" s="116">
        <v>20397.5</v>
      </c>
      <c r="D46" s="116">
        <v>57265</v>
      </c>
      <c r="E46" s="116">
        <f>SUM(F46:I46)+0.1</f>
        <v>25477.373</v>
      </c>
      <c r="F46" s="117">
        <f>SUM('План витрат'!F292:H292)/1000</f>
        <v>3602.0729999999999</v>
      </c>
      <c r="G46" s="117">
        <f>SUM('План витрат'!I292:K292)/1000</f>
        <v>5470.451</v>
      </c>
      <c r="H46" s="117">
        <f>SUM('План витрат'!L292:N292)/1000</f>
        <v>6594.9610000000002</v>
      </c>
      <c r="I46" s="117">
        <f>SUM('План витрат'!O292:Q292)/1000</f>
        <v>9809.7880000000005</v>
      </c>
      <c r="K46" s="2">
        <f>SUM(F46:I46)</f>
        <v>25477.273000000001</v>
      </c>
    </row>
    <row r="47" spans="1:11" x14ac:dyDescent="0.25">
      <c r="A47" s="114" t="s">
        <v>216</v>
      </c>
      <c r="B47" s="115" t="s">
        <v>64</v>
      </c>
      <c r="C47" s="116">
        <v>13127.4</v>
      </c>
      <c r="D47" s="116">
        <v>15214.3</v>
      </c>
      <c r="E47" s="116">
        <f>SUM(F47:I47)</f>
        <v>14285</v>
      </c>
      <c r="F47" s="117">
        <f>SUM('План витрат'!F293:H293)/1000</f>
        <v>3905</v>
      </c>
      <c r="G47" s="117">
        <f>SUM('План витрат'!I293:K293)/1000</f>
        <v>2880</v>
      </c>
      <c r="H47" s="117">
        <f>SUM('План витрат'!L293:N293)/1000</f>
        <v>3230</v>
      </c>
      <c r="I47" s="117">
        <f>SUM('План витрат'!O293:Q293)/1000</f>
        <v>4270</v>
      </c>
      <c r="K47" s="2">
        <f t="shared" si="1"/>
        <v>14285</v>
      </c>
    </row>
    <row r="48" spans="1:11" x14ac:dyDescent="0.25">
      <c r="A48" s="114" t="s">
        <v>65</v>
      </c>
      <c r="B48" s="115" t="s">
        <v>66</v>
      </c>
      <c r="C48" s="116">
        <v>20000.599999999999</v>
      </c>
      <c r="D48" s="117" t="s">
        <v>283</v>
      </c>
      <c r="E48" s="116">
        <f>SUM(F48:I48)-0.1</f>
        <v>27685.511000000006</v>
      </c>
      <c r="F48" s="117">
        <f>SUM('План витрат'!F294:H294)/1000-0.1</f>
        <v>6005.723</v>
      </c>
      <c r="G48" s="117">
        <f>SUM('План витрат'!I294:K294)/1000</f>
        <v>7263.2449999999999</v>
      </c>
      <c r="H48" s="117">
        <f>SUM('План витрат'!L294:N294)/1000</f>
        <v>8032.33</v>
      </c>
      <c r="I48" s="117">
        <f>SUM('План витрат'!O294:Q294)/1000</f>
        <v>6384.3130000000001</v>
      </c>
      <c r="K48" s="2">
        <f>SUM(F48:I48)</f>
        <v>27685.611000000004</v>
      </c>
    </row>
    <row r="49" spans="1:11" x14ac:dyDescent="0.25">
      <c r="A49" s="114" t="s">
        <v>67</v>
      </c>
      <c r="B49" s="115" t="s">
        <v>16</v>
      </c>
      <c r="C49" s="116">
        <v>30888.9</v>
      </c>
      <c r="D49" s="116">
        <v>43675.4</v>
      </c>
      <c r="E49" s="116">
        <f>SUM(F49:I49)+0.1</f>
        <v>39616.1</v>
      </c>
      <c r="F49" s="117">
        <f>SUM('План витрат'!F295:H295)/1000</f>
        <v>10034.25</v>
      </c>
      <c r="G49" s="117">
        <f>SUM('План витрат'!I295:K295)/1000</f>
        <v>10197.079</v>
      </c>
      <c r="H49" s="116">
        <f>SUM('План витрат'!L295:N295)/1000</f>
        <v>10197.079</v>
      </c>
      <c r="I49" s="116">
        <f>SUM('План витрат'!O295:Q295)/1000</f>
        <v>9187.5920000000006</v>
      </c>
      <c r="K49" s="2">
        <f t="shared" si="1"/>
        <v>39616</v>
      </c>
    </row>
    <row r="50" spans="1:11" x14ac:dyDescent="0.25">
      <c r="A50" s="114" t="s">
        <v>68</v>
      </c>
      <c r="B50" s="115" t="s">
        <v>18</v>
      </c>
      <c r="C50" s="116"/>
      <c r="D50" s="116">
        <v>0</v>
      </c>
      <c r="E50" s="116">
        <v>0</v>
      </c>
      <c r="F50" s="116">
        <f t="shared" ref="F50" si="13">E50/4</f>
        <v>0</v>
      </c>
      <c r="G50" s="116">
        <f t="shared" ref="G50" si="14">E50/4</f>
        <v>0</v>
      </c>
      <c r="H50" s="116">
        <f t="shared" ref="H50" si="15">E50/4</f>
        <v>0</v>
      </c>
      <c r="I50" s="116">
        <f t="shared" ref="I50" si="16">E50/4</f>
        <v>0</v>
      </c>
      <c r="K50" s="2">
        <f t="shared" si="1"/>
        <v>0</v>
      </c>
    </row>
    <row r="51" spans="1:11" x14ac:dyDescent="0.25">
      <c r="A51" s="114" t="s">
        <v>69</v>
      </c>
      <c r="B51" s="115" t="s">
        <v>20</v>
      </c>
      <c r="C51" s="116">
        <v>6754.8</v>
      </c>
      <c r="D51" s="116">
        <v>9494.7000000000007</v>
      </c>
      <c r="E51" s="116">
        <f>SUM(F51:I51)</f>
        <v>8530.0010000000002</v>
      </c>
      <c r="F51" s="116">
        <f>SUM('План витрат'!F296:H296)/1000</f>
        <v>2023.9349999999999</v>
      </c>
      <c r="G51" s="116">
        <f>SUM('План витрат'!I296:K296)/1000</f>
        <v>2241.393</v>
      </c>
      <c r="H51" s="116">
        <f>SUM('План витрат'!L296:N296)/1000</f>
        <v>2241.393</v>
      </c>
      <c r="I51" s="116">
        <f>SUM('План витрат'!O296:Q296)/1000</f>
        <v>2023.28</v>
      </c>
      <c r="K51" s="2">
        <f t="shared" si="1"/>
        <v>8530.0010000000002</v>
      </c>
    </row>
    <row r="52" spans="1:11" x14ac:dyDescent="0.25">
      <c r="A52" s="114" t="s">
        <v>70</v>
      </c>
      <c r="B52" s="115" t="s">
        <v>24</v>
      </c>
      <c r="C52" s="116">
        <v>1882.5</v>
      </c>
      <c r="D52" s="116">
        <v>1168.7</v>
      </c>
      <c r="E52" s="116">
        <f>SUM(F52:I52)+0.2</f>
        <v>1095.2</v>
      </c>
      <c r="F52" s="116">
        <f>SUM('План витрат'!F297:H297)/1000</f>
        <v>273.75</v>
      </c>
      <c r="G52" s="116">
        <f>SUM('План витрат'!I297:K297)/1000</f>
        <v>273.75</v>
      </c>
      <c r="H52" s="116">
        <f>SUM('План витрат'!L297:N297)/1000</f>
        <v>273.75</v>
      </c>
      <c r="I52" s="116">
        <f>SUM('План витрат'!O297:Q297)/1000</f>
        <v>273.75</v>
      </c>
      <c r="K52" s="2">
        <f t="shared" si="1"/>
        <v>1095</v>
      </c>
    </row>
    <row r="53" spans="1:11" x14ac:dyDescent="0.25">
      <c r="A53" s="114" t="s">
        <v>32</v>
      </c>
      <c r="B53" s="115" t="s">
        <v>27</v>
      </c>
      <c r="C53" s="116">
        <v>500</v>
      </c>
      <c r="D53" s="117">
        <v>559.20000000000005</v>
      </c>
      <c r="E53" s="116">
        <f>SUM(F53:I53)</f>
        <v>256.39999999999998</v>
      </c>
      <c r="F53" s="116">
        <f>SUM('План витрат'!F298:H298)/1000</f>
        <v>36.6</v>
      </c>
      <c r="G53" s="116">
        <f>SUM('План витрат'!I298:K298)/1000</f>
        <v>36.6</v>
      </c>
      <c r="H53" s="116">
        <f>SUM('План витрат'!L298:N298)/1000</f>
        <v>36.6</v>
      </c>
      <c r="I53" s="116">
        <f>SUM('План витрат'!O298:Q298)/1000</f>
        <v>146.6</v>
      </c>
      <c r="K53" s="2">
        <f t="shared" si="1"/>
        <v>256.39999999999998</v>
      </c>
    </row>
    <row r="54" spans="1:11" x14ac:dyDescent="0.25">
      <c r="A54" s="122" t="s">
        <v>71</v>
      </c>
      <c r="B54" s="118" t="s">
        <v>29</v>
      </c>
      <c r="C54" s="123">
        <f>C45+C49+C51+C52+C50+C53</f>
        <v>93551.7</v>
      </c>
      <c r="D54" s="119">
        <f t="shared" ref="D54" si="17">D45+D49+D51+D52+D50+D53</f>
        <v>155282.60000000003</v>
      </c>
      <c r="E54" s="119">
        <f>E45+E49+E51+E52+E50+E53</f>
        <v>116945.685</v>
      </c>
      <c r="F54" s="119">
        <f>F45+F49+F51+F52+F50+F53+0.1</f>
        <v>25881.530999999999</v>
      </c>
      <c r="G54" s="119">
        <f>G45+G49+G51+G52+G50+G53+0.1</f>
        <v>28362.617999999999</v>
      </c>
      <c r="H54" s="119">
        <f>H45+H49+H51+H52+H50+H53+0.1</f>
        <v>30606.212999999992</v>
      </c>
      <c r="I54" s="119">
        <f>I45+I49+I51+I52+I50+I53+0.1</f>
        <v>32095.422999999999</v>
      </c>
      <c r="K54" s="2">
        <f t="shared" si="1"/>
        <v>116945.78499999999</v>
      </c>
    </row>
    <row r="55" spans="1:11" hidden="1" x14ac:dyDescent="0.25">
      <c r="A55" s="49"/>
      <c r="B55" s="49"/>
      <c r="C55" s="49"/>
      <c r="D55" s="49"/>
      <c r="E55" s="49"/>
      <c r="F55" s="124">
        <f>F28-F27</f>
        <v>25846.300999999999</v>
      </c>
      <c r="G55" s="124">
        <f>G28-G27</f>
        <v>28327.289000000001</v>
      </c>
      <c r="H55" s="124">
        <f>H28-H27</f>
        <v>30570.884999999995</v>
      </c>
      <c r="I55" s="124">
        <f>I28-I27</f>
        <v>31950.193000000007</v>
      </c>
      <c r="K55" s="2">
        <f t="shared" si="1"/>
        <v>116694.66800000001</v>
      </c>
    </row>
    <row r="56" spans="1:11" x14ac:dyDescent="0.25">
      <c r="A56" s="49"/>
      <c r="B56" s="49"/>
      <c r="C56" s="49"/>
      <c r="D56" s="49"/>
      <c r="E56" s="49"/>
      <c r="F56" s="49"/>
      <c r="G56" s="49"/>
      <c r="H56" s="49"/>
      <c r="I56" s="49"/>
      <c r="K56" s="2">
        <f t="shared" si="1"/>
        <v>0</v>
      </c>
    </row>
    <row r="57" spans="1:11" ht="18" customHeight="1" x14ac:dyDescent="0.25">
      <c r="A57" s="285" t="s">
        <v>72</v>
      </c>
      <c r="B57" s="286"/>
      <c r="C57" s="286"/>
      <c r="D57" s="286"/>
      <c r="E57" s="286"/>
      <c r="F57" s="286"/>
      <c r="G57" s="286"/>
      <c r="H57" s="286"/>
      <c r="I57" s="287"/>
      <c r="K57" s="2">
        <f t="shared" si="1"/>
        <v>0</v>
      </c>
    </row>
    <row r="58" spans="1:11" ht="18" customHeight="1" x14ac:dyDescent="0.25">
      <c r="A58" s="114" t="s">
        <v>73</v>
      </c>
      <c r="B58" s="115" t="s">
        <v>63</v>
      </c>
      <c r="C58" s="116">
        <v>8044.3</v>
      </c>
      <c r="D58" s="116">
        <v>0</v>
      </c>
      <c r="E58" s="117">
        <f>E59</f>
        <v>0</v>
      </c>
      <c r="F58" s="117">
        <v>0</v>
      </c>
      <c r="G58" s="117">
        <v>0</v>
      </c>
      <c r="H58" s="117">
        <v>0</v>
      </c>
      <c r="I58" s="117">
        <v>0</v>
      </c>
      <c r="K58" s="2">
        <f>SUM(F58:I58)</f>
        <v>0</v>
      </c>
    </row>
    <row r="59" spans="1:11" ht="30" x14ac:dyDescent="0.25">
      <c r="A59" s="114" t="s">
        <v>74</v>
      </c>
      <c r="B59" s="115" t="s">
        <v>16</v>
      </c>
      <c r="C59" s="116">
        <v>8044.3</v>
      </c>
      <c r="D59" s="116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K59" s="2">
        <f t="shared" si="1"/>
        <v>0</v>
      </c>
    </row>
    <row r="60" spans="1:11" ht="45" x14ac:dyDescent="0.25">
      <c r="A60" s="114" t="s">
        <v>75</v>
      </c>
      <c r="B60" s="115" t="s">
        <v>18</v>
      </c>
      <c r="C60" s="115"/>
      <c r="D60" s="117"/>
      <c r="E60" s="117" t="s">
        <v>76</v>
      </c>
      <c r="F60" s="117" t="s">
        <v>76</v>
      </c>
      <c r="G60" s="117" t="s">
        <v>76</v>
      </c>
      <c r="H60" s="117" t="s">
        <v>76</v>
      </c>
      <c r="I60" s="117" t="s">
        <v>76</v>
      </c>
      <c r="K60" s="2">
        <f t="shared" si="1"/>
        <v>0</v>
      </c>
    </row>
    <row r="61" spans="1:11" x14ac:dyDescent="0.25">
      <c r="A61" s="49"/>
      <c r="B61" s="49"/>
      <c r="C61" s="49"/>
      <c r="D61" s="49"/>
      <c r="E61" s="49"/>
      <c r="F61" s="49"/>
      <c r="G61" s="49"/>
      <c r="H61" s="49"/>
      <c r="I61" s="49"/>
    </row>
    <row r="62" spans="1:11" x14ac:dyDescent="0.25">
      <c r="A62" s="49"/>
      <c r="B62" s="49"/>
      <c r="C62" s="49"/>
      <c r="D62" s="49"/>
      <c r="E62" s="49"/>
      <c r="F62" s="49"/>
      <c r="G62" s="49"/>
      <c r="H62" s="49"/>
      <c r="I62" s="49"/>
    </row>
    <row r="63" spans="1:11" x14ac:dyDescent="0.25">
      <c r="A63" s="49"/>
      <c r="B63" s="49"/>
      <c r="C63" s="49"/>
      <c r="D63" s="49"/>
      <c r="E63" s="49"/>
      <c r="F63" s="49"/>
      <c r="G63" s="49"/>
      <c r="H63" s="49"/>
      <c r="I63" s="49"/>
    </row>
    <row r="64" spans="1:11" ht="15.75" x14ac:dyDescent="0.25">
      <c r="A64" s="107"/>
      <c r="B64" s="107"/>
      <c r="C64" s="107"/>
      <c r="D64" s="107"/>
      <c r="E64" s="107"/>
      <c r="F64" s="107"/>
      <c r="G64" s="107"/>
      <c r="H64" s="55"/>
      <c r="I64" s="49"/>
    </row>
    <row r="65" spans="1:9" ht="15.75" x14ac:dyDescent="0.25">
      <c r="A65" s="107"/>
      <c r="B65" s="107"/>
      <c r="C65" s="107"/>
      <c r="D65" s="107"/>
      <c r="E65" s="55"/>
      <c r="F65" s="107"/>
      <c r="G65" s="107"/>
      <c r="H65" s="55"/>
      <c r="I65" s="49"/>
    </row>
    <row r="66" spans="1:9" ht="15.75" x14ac:dyDescent="0.25">
      <c r="A66" s="107" t="s">
        <v>77</v>
      </c>
      <c r="B66" s="107"/>
      <c r="C66" s="107"/>
      <c r="D66" s="107" t="s">
        <v>267</v>
      </c>
      <c r="E66" s="107"/>
      <c r="F66" s="107"/>
      <c r="G66" s="107"/>
      <c r="H66" s="55"/>
      <c r="I66" s="49"/>
    </row>
    <row r="67" spans="1:9" ht="15.75" x14ac:dyDescent="0.25">
      <c r="A67" s="107"/>
      <c r="B67" s="107"/>
      <c r="C67" s="107"/>
      <c r="D67" s="107"/>
      <c r="E67" s="107"/>
      <c r="F67" s="107"/>
      <c r="G67" s="107"/>
      <c r="H67" s="55"/>
      <c r="I67" s="49"/>
    </row>
    <row r="68" spans="1:9" ht="15.75" x14ac:dyDescent="0.25">
      <c r="A68" s="107" t="s">
        <v>78</v>
      </c>
      <c r="B68" s="107"/>
      <c r="C68" s="107"/>
      <c r="D68" s="107" t="s">
        <v>268</v>
      </c>
      <c r="E68" s="107"/>
      <c r="F68" s="107"/>
      <c r="G68" s="107"/>
      <c r="H68" s="55"/>
      <c r="I68" s="49"/>
    </row>
    <row r="69" spans="1:9" x14ac:dyDescent="0.25">
      <c r="A69" s="55"/>
      <c r="B69" s="55"/>
      <c r="C69" s="55"/>
      <c r="D69" s="55"/>
      <c r="E69" s="55"/>
      <c r="F69" s="55"/>
      <c r="G69" s="55"/>
      <c r="H69" s="55"/>
      <c r="I69" s="49"/>
    </row>
    <row r="70" spans="1:9" x14ac:dyDescent="0.25">
      <c r="A70" s="49"/>
      <c r="B70" s="49"/>
      <c r="C70" s="49"/>
      <c r="D70" s="49"/>
      <c r="E70" s="49"/>
      <c r="F70" s="49"/>
      <c r="G70" s="49"/>
      <c r="H70" s="49"/>
      <c r="I70" s="49"/>
    </row>
    <row r="71" spans="1:9" x14ac:dyDescent="0.25">
      <c r="A71" s="49"/>
      <c r="B71" s="49"/>
      <c r="C71" s="49"/>
      <c r="D71" s="49"/>
      <c r="E71" s="49"/>
      <c r="F71" s="49"/>
      <c r="G71" s="49"/>
      <c r="H71" s="49"/>
      <c r="I71" s="49"/>
    </row>
  </sheetData>
  <mergeCells count="15">
    <mergeCell ref="F14:I14"/>
    <mergeCell ref="A29:I29"/>
    <mergeCell ref="A33:I33"/>
    <mergeCell ref="A44:I44"/>
    <mergeCell ref="A57:I57"/>
    <mergeCell ref="A14:A15"/>
    <mergeCell ref="B14:B15"/>
    <mergeCell ref="C14:C15"/>
    <mergeCell ref="D14:D15"/>
    <mergeCell ref="E14:E15"/>
    <mergeCell ref="A8:I8"/>
    <mergeCell ref="A9:I9"/>
    <mergeCell ref="A10:I10"/>
    <mergeCell ref="A12:I12"/>
    <mergeCell ref="A13:I13"/>
  </mergeCells>
  <pageMargins left="0.51181102362204722" right="0.11811023622047245" top="0.74803149606299213" bottom="0.74803149606299213" header="0.31496062992125984" footer="0.31496062992125984"/>
  <pageSetup paperSize="9" scale="78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BO50"/>
  <sheetViews>
    <sheetView zoomScaleNormal="100" zoomScaleSheetLayoutView="65" workbookViewId="0">
      <selection activeCell="B52" sqref="B52:B54"/>
    </sheetView>
  </sheetViews>
  <sheetFormatPr defaultRowHeight="15" x14ac:dyDescent="0.25"/>
  <cols>
    <col min="1" max="1" width="5.7109375" customWidth="1"/>
    <col min="2" max="2" width="55.7109375" customWidth="1"/>
    <col min="3" max="3" width="10.7109375" hidden="1" customWidth="1"/>
    <col min="4" max="4" width="18.140625" hidden="1" customWidth="1"/>
    <col min="5" max="5" width="0.140625" customWidth="1"/>
    <col min="6" max="6" width="14.5703125" customWidth="1"/>
    <col min="7" max="7" width="0.28515625" hidden="1" customWidth="1"/>
    <col min="8" max="8" width="14.42578125" hidden="1" customWidth="1"/>
    <col min="9" max="9" width="10.42578125" hidden="1" customWidth="1"/>
    <col min="10" max="10" width="9.85546875" hidden="1" customWidth="1"/>
    <col min="11" max="19" width="6.7109375" hidden="1" customWidth="1"/>
    <col min="20" max="22" width="7.85546875" hidden="1" customWidth="1"/>
    <col min="23" max="23" width="12.42578125" hidden="1" customWidth="1"/>
    <col min="24" max="24" width="19" hidden="1" customWidth="1"/>
    <col min="25" max="26" width="9" hidden="1" customWidth="1"/>
    <col min="27" max="27" width="13.28515625" customWidth="1"/>
    <col min="28" max="28" width="0.140625" hidden="1" customWidth="1"/>
    <col min="29" max="29" width="9.85546875" hidden="1" customWidth="1"/>
    <col min="30" max="30" width="0.85546875" hidden="1" customWidth="1"/>
    <col min="31" max="31" width="12.85546875" customWidth="1"/>
    <col min="32" max="32" width="0.140625" hidden="1" customWidth="1"/>
    <col min="33" max="34" width="8" hidden="1" customWidth="1"/>
    <col min="35" max="35" width="13.140625" customWidth="1"/>
    <col min="36" max="37" width="9.85546875" hidden="1" customWidth="1"/>
    <col min="38" max="38" width="0.5703125" hidden="1" customWidth="1"/>
    <col min="39" max="39" width="12.7109375" customWidth="1"/>
    <col min="41" max="41" width="11.85546875" customWidth="1"/>
    <col min="42" max="42" width="12.85546875" customWidth="1"/>
    <col min="43" max="43" width="13.42578125" customWidth="1"/>
    <col min="44" max="44" width="12.5703125" customWidth="1"/>
    <col min="45" max="45" width="12.42578125" customWidth="1"/>
    <col min="46" max="46" width="12.7109375" customWidth="1"/>
    <col min="47" max="47" width="12" customWidth="1"/>
    <col min="48" max="48" width="12.5703125" customWidth="1"/>
    <col min="49" max="49" width="13.140625" customWidth="1"/>
    <col min="50" max="50" width="11.7109375" customWidth="1"/>
    <col min="51" max="51" width="11.42578125" customWidth="1"/>
    <col min="52" max="52" width="11.28515625" customWidth="1"/>
    <col min="53" max="53" width="13.85546875" customWidth="1"/>
    <col min="55" max="55" width="13" customWidth="1"/>
    <col min="56" max="56" width="13.7109375" customWidth="1"/>
    <col min="57" max="57" width="13.140625" customWidth="1"/>
    <col min="58" max="59" width="12.85546875" customWidth="1"/>
    <col min="60" max="60" width="14.28515625" customWidth="1"/>
    <col min="61" max="61" width="14.140625" customWidth="1"/>
    <col min="62" max="62" width="15" customWidth="1"/>
    <col min="63" max="63" width="14.140625" customWidth="1"/>
    <col min="64" max="64" width="14.42578125" customWidth="1"/>
    <col min="65" max="65" width="13.85546875" customWidth="1"/>
    <col min="66" max="66" width="14.42578125" customWidth="1"/>
    <col min="67" max="67" width="15.7109375" customWidth="1"/>
  </cols>
  <sheetData>
    <row r="1" spans="1:67" x14ac:dyDescent="0.25">
      <c r="AA1" t="s">
        <v>285</v>
      </c>
    </row>
    <row r="2" spans="1:67" ht="15.75" thickBot="1" x14ac:dyDescent="0.3"/>
    <row r="3" spans="1:67" ht="16.5" thickBot="1" x14ac:dyDescent="0.3">
      <c r="A3" s="49"/>
      <c r="B3" s="302" t="s">
        <v>286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4"/>
    </row>
    <row r="4" spans="1:67" ht="15.75" thickBot="1" x14ac:dyDescent="0.3">
      <c r="A4" s="49"/>
      <c r="B4" s="50"/>
      <c r="C4" s="50"/>
      <c r="D4" s="50"/>
      <c r="E4" s="50"/>
      <c r="F4" s="255" t="s">
        <v>295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 t="s">
        <v>168</v>
      </c>
      <c r="BC4" s="45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7"/>
    </row>
    <row r="5" spans="1:67" ht="15.75" thickBot="1" x14ac:dyDescent="0.3">
      <c r="A5" s="49"/>
      <c r="B5" s="49"/>
      <c r="C5" s="49"/>
      <c r="D5" s="49"/>
      <c r="E5" s="51"/>
      <c r="F5" s="52"/>
      <c r="G5" s="53"/>
      <c r="H5" s="53"/>
      <c r="I5" s="54"/>
      <c r="J5" s="49"/>
      <c r="K5" s="303" t="s">
        <v>179</v>
      </c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55" t="s">
        <v>180</v>
      </c>
      <c r="Y5" s="55"/>
      <c r="Z5" s="55"/>
      <c r="AA5" s="305" t="s">
        <v>181</v>
      </c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7"/>
      <c r="AO5" s="293" t="s">
        <v>182</v>
      </c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5"/>
      <c r="BB5" s="49"/>
      <c r="BC5" s="293" t="s">
        <v>183</v>
      </c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5"/>
    </row>
    <row r="6" spans="1:67" ht="54.75" customHeight="1" x14ac:dyDescent="0.25">
      <c r="A6" s="56"/>
      <c r="B6" s="57" t="s">
        <v>184</v>
      </c>
      <c r="C6" s="58" t="s">
        <v>185</v>
      </c>
      <c r="D6" s="56" t="s">
        <v>186</v>
      </c>
      <c r="E6" s="56" t="s">
        <v>187</v>
      </c>
      <c r="F6" s="58" t="s">
        <v>287</v>
      </c>
      <c r="G6" s="56" t="s">
        <v>25</v>
      </c>
      <c r="H6" s="56" t="s">
        <v>186</v>
      </c>
      <c r="I6" s="58" t="s">
        <v>188</v>
      </c>
      <c r="J6" s="58" t="s">
        <v>189</v>
      </c>
      <c r="K6" s="56">
        <v>1</v>
      </c>
      <c r="L6" s="56">
        <v>2</v>
      </c>
      <c r="M6" s="56">
        <v>3</v>
      </c>
      <c r="N6" s="56">
        <v>4</v>
      </c>
      <c r="O6" s="56">
        <v>5</v>
      </c>
      <c r="P6" s="56">
        <v>6</v>
      </c>
      <c r="Q6" s="56">
        <v>7</v>
      </c>
      <c r="R6" s="56">
        <v>8</v>
      </c>
      <c r="S6" s="56">
        <v>9</v>
      </c>
      <c r="T6" s="56">
        <v>10</v>
      </c>
      <c r="U6" s="56">
        <v>11</v>
      </c>
      <c r="V6" s="56">
        <v>12</v>
      </c>
      <c r="W6" s="56" t="s">
        <v>190</v>
      </c>
      <c r="X6" s="56">
        <v>1</v>
      </c>
      <c r="Y6" s="56">
        <v>2</v>
      </c>
      <c r="Z6" s="56">
        <v>3</v>
      </c>
      <c r="AA6" s="58" t="s">
        <v>191</v>
      </c>
      <c r="AB6" s="56">
        <v>4</v>
      </c>
      <c r="AC6" s="56">
        <v>5</v>
      </c>
      <c r="AD6" s="56">
        <v>6</v>
      </c>
      <c r="AE6" s="58" t="s">
        <v>192</v>
      </c>
      <c r="AF6" s="56">
        <v>7</v>
      </c>
      <c r="AG6" s="56">
        <v>8</v>
      </c>
      <c r="AH6" s="56">
        <v>9</v>
      </c>
      <c r="AI6" s="58" t="s">
        <v>193</v>
      </c>
      <c r="AJ6" s="56">
        <v>10</v>
      </c>
      <c r="AK6" s="56">
        <v>11</v>
      </c>
      <c r="AL6" s="56">
        <v>12</v>
      </c>
      <c r="AM6" s="58" t="s">
        <v>194</v>
      </c>
      <c r="AO6" s="125">
        <v>1</v>
      </c>
      <c r="AP6" s="126">
        <v>2</v>
      </c>
      <c r="AQ6" s="126">
        <v>3</v>
      </c>
      <c r="AR6" s="126">
        <v>4</v>
      </c>
      <c r="AS6" s="126">
        <v>5</v>
      </c>
      <c r="AT6" s="126">
        <v>6</v>
      </c>
      <c r="AU6" s="126">
        <v>7</v>
      </c>
      <c r="AV6" s="126">
        <v>8</v>
      </c>
      <c r="AW6" s="126">
        <v>9</v>
      </c>
      <c r="AX6" s="126">
        <v>10</v>
      </c>
      <c r="AY6" s="126">
        <v>11</v>
      </c>
      <c r="AZ6" s="126">
        <v>12</v>
      </c>
      <c r="BA6" s="126" t="s">
        <v>190</v>
      </c>
      <c r="BB6" s="49"/>
      <c r="BC6" s="125">
        <v>1</v>
      </c>
      <c r="BD6" s="126">
        <v>2</v>
      </c>
      <c r="BE6" s="126">
        <v>3</v>
      </c>
      <c r="BF6" s="126">
        <v>4</v>
      </c>
      <c r="BG6" s="126">
        <v>5</v>
      </c>
      <c r="BH6" s="126">
        <v>6</v>
      </c>
      <c r="BI6" s="126">
        <v>7</v>
      </c>
      <c r="BJ6" s="126">
        <v>8</v>
      </c>
      <c r="BK6" s="126">
        <v>9</v>
      </c>
      <c r="BL6" s="126">
        <v>10</v>
      </c>
      <c r="BM6" s="126">
        <v>11</v>
      </c>
      <c r="BN6" s="126">
        <v>12</v>
      </c>
      <c r="BO6" s="126" t="s">
        <v>190</v>
      </c>
    </row>
    <row r="7" spans="1:67" ht="39.75" customHeight="1" thickBot="1" x14ac:dyDescent="0.3">
      <c r="A7" s="59">
        <v>1</v>
      </c>
      <c r="B7" s="60" t="s">
        <v>236</v>
      </c>
      <c r="C7" s="61"/>
      <c r="D7" s="61"/>
      <c r="E7" s="62">
        <f>W7</f>
        <v>0</v>
      </c>
      <c r="F7" s="273">
        <f>SUM(F8:F11)</f>
        <v>57099623</v>
      </c>
      <c r="G7" s="62" t="e">
        <f>#REF!</f>
        <v>#REF!</v>
      </c>
      <c r="H7" s="62"/>
      <c r="I7" s="63"/>
      <c r="J7" s="64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5">
        <f>SUM(K7:V7)</f>
        <v>0</v>
      </c>
      <c r="X7" s="66"/>
      <c r="Y7" s="66"/>
      <c r="Z7" s="66"/>
      <c r="AA7" s="67">
        <f>SUM(AA8:AA11)</f>
        <v>13930577</v>
      </c>
      <c r="AB7" s="67">
        <f t="shared" ref="AB7:AM7" si="0">SUM(AB8:AB11)</f>
        <v>2308500</v>
      </c>
      <c r="AC7" s="67">
        <f t="shared" si="0"/>
        <v>2273500</v>
      </c>
      <c r="AD7" s="67">
        <f t="shared" si="0"/>
        <v>2258500</v>
      </c>
      <c r="AE7" s="67">
        <f t="shared" si="0"/>
        <v>12345177</v>
      </c>
      <c r="AF7" s="67">
        <f t="shared" si="0"/>
        <v>2258500</v>
      </c>
      <c r="AG7" s="67">
        <f t="shared" si="0"/>
        <v>2263500</v>
      </c>
      <c r="AH7" s="67">
        <f t="shared" si="0"/>
        <v>2197905</v>
      </c>
      <c r="AI7" s="67">
        <f t="shared" si="0"/>
        <v>13460358</v>
      </c>
      <c r="AJ7" s="68">
        <f t="shared" si="0"/>
        <v>2398700</v>
      </c>
      <c r="AK7" s="68">
        <f t="shared" si="0"/>
        <v>1985000</v>
      </c>
      <c r="AL7" s="68">
        <f t="shared" si="0"/>
        <v>2033912</v>
      </c>
      <c r="AM7" s="68">
        <f t="shared" si="0"/>
        <v>17363511</v>
      </c>
      <c r="AO7" s="77">
        <f>$I7*X7</f>
        <v>0</v>
      </c>
      <c r="AP7" s="77">
        <f t="shared" ref="AP7:AQ7" si="1">$I7*Y7</f>
        <v>0</v>
      </c>
      <c r="AQ7" s="77">
        <f t="shared" si="1"/>
        <v>0</v>
      </c>
      <c r="AR7" s="77">
        <f t="shared" ref="AR7:AT7" si="2">$I7*AB7</f>
        <v>0</v>
      </c>
      <c r="AS7" s="77">
        <f t="shared" si="2"/>
        <v>0</v>
      </c>
      <c r="AT7" s="77">
        <f t="shared" si="2"/>
        <v>0</v>
      </c>
      <c r="AU7" s="77">
        <f t="shared" ref="AU7:AW7" si="3">$I7*AF7</f>
        <v>0</v>
      </c>
      <c r="AV7" s="77">
        <f t="shared" si="3"/>
        <v>0</v>
      </c>
      <c r="AW7" s="77">
        <f t="shared" si="3"/>
        <v>0</v>
      </c>
      <c r="AX7" s="77">
        <f t="shared" ref="AX7:AZ7" si="4">$I7*AJ7</f>
        <v>0</v>
      </c>
      <c r="AY7" s="77">
        <f t="shared" si="4"/>
        <v>0</v>
      </c>
      <c r="AZ7" s="77">
        <f t="shared" si="4"/>
        <v>0</v>
      </c>
      <c r="BA7" s="127">
        <f>SUM(AO7:AZ7)</f>
        <v>0</v>
      </c>
      <c r="BB7" s="49"/>
      <c r="BC7" s="78">
        <f>AO7/(1+$J7/100)</f>
        <v>0</v>
      </c>
      <c r="BD7" s="78">
        <f t="shared" ref="BD7:BN23" si="5">AP7/(1+$J7/100)</f>
        <v>0</v>
      </c>
      <c r="BE7" s="78">
        <f t="shared" si="5"/>
        <v>0</v>
      </c>
      <c r="BF7" s="78">
        <f t="shared" si="5"/>
        <v>0</v>
      </c>
      <c r="BG7" s="78">
        <f t="shared" si="5"/>
        <v>0</v>
      </c>
      <c r="BH7" s="78">
        <f t="shared" si="5"/>
        <v>0</v>
      </c>
      <c r="BI7" s="78">
        <f t="shared" si="5"/>
        <v>0</v>
      </c>
      <c r="BJ7" s="78">
        <f t="shared" si="5"/>
        <v>0</v>
      </c>
      <c r="BK7" s="78">
        <f t="shared" si="5"/>
        <v>0</v>
      </c>
      <c r="BL7" s="78">
        <f t="shared" si="5"/>
        <v>0</v>
      </c>
      <c r="BM7" s="78">
        <f t="shared" si="5"/>
        <v>0</v>
      </c>
      <c r="BN7" s="78">
        <f t="shared" si="5"/>
        <v>0</v>
      </c>
      <c r="BO7" s="127">
        <f>SUM(BC7:BN7)</f>
        <v>0</v>
      </c>
    </row>
    <row r="8" spans="1:67" ht="18" customHeight="1" thickBot="1" x14ac:dyDescent="0.3">
      <c r="A8" s="69" t="s">
        <v>195</v>
      </c>
      <c r="B8" s="70" t="s">
        <v>237</v>
      </c>
      <c r="C8" s="71"/>
      <c r="D8" s="61"/>
      <c r="E8" s="72">
        <f t="shared" ref="E8:E43" si="6">W8</f>
        <v>0</v>
      </c>
      <c r="F8" s="73">
        <f>AA8+AE8+AI8+AM8</f>
        <v>26000000</v>
      </c>
      <c r="G8" s="72" t="e">
        <f>#REF!</f>
        <v>#REF!</v>
      </c>
      <c r="H8" s="72"/>
      <c r="I8" s="74">
        <v>1</v>
      </c>
      <c r="J8" s="75">
        <v>20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6">
        <f t="shared" ref="W8:W43" si="7">SUM(K8:V8)</f>
        <v>0</v>
      </c>
      <c r="X8" s="77">
        <v>1310000</v>
      </c>
      <c r="Y8" s="77">
        <v>1500000</v>
      </c>
      <c r="Z8" s="77">
        <v>1500000</v>
      </c>
      <c r="AA8" s="78">
        <f>SUM(AO8:AQ8)</f>
        <v>6349886</v>
      </c>
      <c r="AB8" s="77">
        <v>1500000</v>
      </c>
      <c r="AC8" s="77">
        <v>1500000</v>
      </c>
      <c r="AD8" s="77">
        <v>1500000</v>
      </c>
      <c r="AE8" s="79">
        <f>SUM(AR8:AT8)</f>
        <v>6516178</v>
      </c>
      <c r="AF8" s="77">
        <v>1500000</v>
      </c>
      <c r="AG8" s="77">
        <v>1500000</v>
      </c>
      <c r="AH8" s="77">
        <v>1500000</v>
      </c>
      <c r="AI8" s="79">
        <f>SUM(AU8:AW8)</f>
        <v>6667359</v>
      </c>
      <c r="AJ8" s="77">
        <v>1500000</v>
      </c>
      <c r="AK8" s="77">
        <v>1500000</v>
      </c>
      <c r="AL8" s="77">
        <v>1690000</v>
      </c>
      <c r="AM8" s="79">
        <f>SUM(AX8:AZ8)</f>
        <v>6466577</v>
      </c>
      <c r="AO8" s="79">
        <v>2069800</v>
      </c>
      <c r="AP8" s="79">
        <v>2245970</v>
      </c>
      <c r="AQ8" s="79">
        <f>1867450+166666</f>
        <v>2034116</v>
      </c>
      <c r="AR8" s="79">
        <f>1357130+666666</f>
        <v>2023796</v>
      </c>
      <c r="AS8" s="79">
        <f>666666+1590300</f>
        <v>2256966</v>
      </c>
      <c r="AT8" s="79">
        <f>1768750+466666</f>
        <v>2235416</v>
      </c>
      <c r="AU8" s="79">
        <f>1585880+666666</f>
        <v>2252546</v>
      </c>
      <c r="AV8" s="79">
        <f>1542700+666666</f>
        <v>2209366</v>
      </c>
      <c r="AW8" s="79">
        <f>1538780+666667</f>
        <v>2205447</v>
      </c>
      <c r="AX8" s="79">
        <f>1603340+666666</f>
        <v>2270006</v>
      </c>
      <c r="AY8" s="79">
        <f>1570500+666666</f>
        <v>2237166</v>
      </c>
      <c r="AZ8" s="79">
        <f>1959405</f>
        <v>1959405</v>
      </c>
      <c r="BA8" s="128">
        <f>SUM(AO8:AZ8)</f>
        <v>26000000</v>
      </c>
      <c r="BB8" s="49"/>
      <c r="BC8" s="78">
        <f>AO8/(1+$J8/100)</f>
        <v>1724833.3333333335</v>
      </c>
      <c r="BD8" s="78">
        <f t="shared" si="5"/>
        <v>1871641.6666666667</v>
      </c>
      <c r="BE8" s="78">
        <f t="shared" si="5"/>
        <v>1695096.6666666667</v>
      </c>
      <c r="BF8" s="78">
        <f t="shared" si="5"/>
        <v>1686496.6666666667</v>
      </c>
      <c r="BG8" s="78">
        <f t="shared" si="5"/>
        <v>1880805</v>
      </c>
      <c r="BH8" s="78">
        <f t="shared" si="5"/>
        <v>1862846.6666666667</v>
      </c>
      <c r="BI8" s="78">
        <f t="shared" si="5"/>
        <v>1877121.6666666667</v>
      </c>
      <c r="BJ8" s="78">
        <f t="shared" si="5"/>
        <v>1841138.3333333335</v>
      </c>
      <c r="BK8" s="78">
        <f t="shared" si="5"/>
        <v>1837872.5</v>
      </c>
      <c r="BL8" s="78">
        <f t="shared" si="5"/>
        <v>1891671.6666666667</v>
      </c>
      <c r="BM8" s="78">
        <f t="shared" si="5"/>
        <v>1864305</v>
      </c>
      <c r="BN8" s="78">
        <f t="shared" si="5"/>
        <v>1632837.5</v>
      </c>
      <c r="BO8" s="76">
        <f t="shared" ref="BO8:BO41" si="8">SUM(BC8:BN8)</f>
        <v>21666666.666666668</v>
      </c>
    </row>
    <row r="9" spans="1:67" ht="18" customHeight="1" thickBot="1" x14ac:dyDescent="0.3">
      <c r="A9" s="80" t="s">
        <v>196</v>
      </c>
      <c r="B9" s="70" t="s">
        <v>238</v>
      </c>
      <c r="C9" s="71"/>
      <c r="D9" s="61"/>
      <c r="E9" s="72">
        <f t="shared" si="6"/>
        <v>0</v>
      </c>
      <c r="F9" s="81">
        <f>AA9+AE9+AI9+AM9</f>
        <v>22274235</v>
      </c>
      <c r="G9" s="72" t="e">
        <f>#REF!</f>
        <v>#REF!</v>
      </c>
      <c r="H9" s="72"/>
      <c r="I9" s="74">
        <v>1</v>
      </c>
      <c r="J9" s="75">
        <v>20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6">
        <f t="shared" si="7"/>
        <v>0</v>
      </c>
      <c r="X9" s="77">
        <v>185000</v>
      </c>
      <c r="Y9" s="77">
        <v>300000</v>
      </c>
      <c r="Z9" s="77">
        <v>250000</v>
      </c>
      <c r="AA9" s="78">
        <f t="shared" ref="AA9:AA28" si="9">SUM(AO9:AQ9)</f>
        <v>3380000</v>
      </c>
      <c r="AB9" s="78">
        <v>340000</v>
      </c>
      <c r="AC9" s="78">
        <v>305000</v>
      </c>
      <c r="AD9" s="78">
        <v>290000</v>
      </c>
      <c r="AE9" s="78">
        <f t="shared" ref="AE9:AE18" si="10">SUM(AR9:AT9)</f>
        <v>5246000</v>
      </c>
      <c r="AF9" s="78">
        <v>290000</v>
      </c>
      <c r="AG9" s="78">
        <v>295000</v>
      </c>
      <c r="AH9" s="78">
        <v>279405</v>
      </c>
      <c r="AI9" s="78">
        <f>SUM(AU9:AW9)</f>
        <v>6210000</v>
      </c>
      <c r="AJ9" s="78">
        <v>480000</v>
      </c>
      <c r="AK9" s="78">
        <v>485000</v>
      </c>
      <c r="AL9" s="78">
        <v>300000</v>
      </c>
      <c r="AM9" s="78">
        <f t="shared" ref="AM9:AM28" si="11">SUM(AX9:AZ9)</f>
        <v>7438235</v>
      </c>
      <c r="AO9" s="79">
        <v>1490000</v>
      </c>
      <c r="AP9" s="79">
        <f>500000</f>
        <v>500000</v>
      </c>
      <c r="AQ9" s="79">
        <f>400000+990000</f>
        <v>1390000</v>
      </c>
      <c r="AR9" s="79">
        <f>1370000+500000</f>
        <v>1870000</v>
      </c>
      <c r="AS9" s="79">
        <f>1906000-500000</f>
        <v>1406000</v>
      </c>
      <c r="AT9" s="79">
        <v>1970000</v>
      </c>
      <c r="AU9" s="79">
        <v>1950000</v>
      </c>
      <c r="AV9" s="79">
        <v>2280000</v>
      </c>
      <c r="AW9" s="79">
        <v>1980000</v>
      </c>
      <c r="AX9" s="79">
        <v>2800000</v>
      </c>
      <c r="AY9" s="79">
        <v>2710000</v>
      </c>
      <c r="AZ9" s="79">
        <v>1928235</v>
      </c>
      <c r="BA9" s="76">
        <f t="shared" ref="BA9:BA42" si="12">SUM(AO9:AZ9)</f>
        <v>22274235</v>
      </c>
      <c r="BB9" s="49"/>
      <c r="BC9" s="78">
        <f t="shared" ref="BC9:BN33" si="13">AO9/(1+$J9/100)</f>
        <v>1241666.6666666667</v>
      </c>
      <c r="BD9" s="78">
        <f t="shared" si="5"/>
        <v>416666.66666666669</v>
      </c>
      <c r="BE9" s="78">
        <f t="shared" si="5"/>
        <v>1158333.3333333335</v>
      </c>
      <c r="BF9" s="78">
        <f t="shared" si="5"/>
        <v>1558333.3333333335</v>
      </c>
      <c r="BG9" s="78">
        <f t="shared" si="5"/>
        <v>1171666.6666666667</v>
      </c>
      <c r="BH9" s="78">
        <f t="shared" si="5"/>
        <v>1641666.6666666667</v>
      </c>
      <c r="BI9" s="78">
        <f t="shared" si="5"/>
        <v>1625000</v>
      </c>
      <c r="BJ9" s="78">
        <f t="shared" si="5"/>
        <v>1900000</v>
      </c>
      <c r="BK9" s="78">
        <f t="shared" si="5"/>
        <v>1650000</v>
      </c>
      <c r="BL9" s="78">
        <f t="shared" si="5"/>
        <v>2333333.3333333335</v>
      </c>
      <c r="BM9" s="78">
        <f t="shared" si="5"/>
        <v>2258333.3333333335</v>
      </c>
      <c r="BN9" s="78">
        <f t="shared" si="5"/>
        <v>1606862.5</v>
      </c>
      <c r="BO9" s="129">
        <f t="shared" si="8"/>
        <v>18561862.5</v>
      </c>
    </row>
    <row r="10" spans="1:67" ht="18.75" customHeight="1" thickBot="1" x14ac:dyDescent="0.3">
      <c r="A10" s="80" t="s">
        <v>197</v>
      </c>
      <c r="B10" s="70" t="s">
        <v>239</v>
      </c>
      <c r="C10" s="71"/>
      <c r="D10" s="61"/>
      <c r="E10" s="72">
        <f t="shared" si="6"/>
        <v>0</v>
      </c>
      <c r="F10" s="81">
        <f>AA10+AE10+AI10+AM10</f>
        <v>7076388</v>
      </c>
      <c r="G10" s="72" t="e">
        <f>#REF!</f>
        <v>#REF!</v>
      </c>
      <c r="H10" s="72"/>
      <c r="I10" s="74">
        <v>1</v>
      </c>
      <c r="J10" s="75">
        <v>20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6">
        <f t="shared" si="7"/>
        <v>0</v>
      </c>
      <c r="X10" s="77">
        <v>1210000</v>
      </c>
      <c r="Y10" s="77">
        <v>1000000</v>
      </c>
      <c r="Z10" s="77"/>
      <c r="AA10" s="78">
        <f t="shared" si="9"/>
        <v>3945908</v>
      </c>
      <c r="AB10" s="78"/>
      <c r="AC10" s="78"/>
      <c r="AD10" s="78"/>
      <c r="AE10" s="78">
        <f t="shared" si="10"/>
        <v>0</v>
      </c>
      <c r="AF10" s="78"/>
      <c r="AG10" s="78"/>
      <c r="AH10" s="78"/>
      <c r="AI10" s="78">
        <f t="shared" ref="AI10" si="14">SUM(AF10:AH10)</f>
        <v>0</v>
      </c>
      <c r="AJ10" s="78"/>
      <c r="AK10" s="78"/>
      <c r="AL10" s="78">
        <v>43912</v>
      </c>
      <c r="AM10" s="78">
        <f t="shared" si="11"/>
        <v>3130480</v>
      </c>
      <c r="AO10" s="130">
        <f>2943346-1500000</f>
        <v>1443346</v>
      </c>
      <c r="AP10" s="130">
        <f>2890225-1000000</f>
        <v>1890225</v>
      </c>
      <c r="AQ10" s="130">
        <f>1612337-1000000</f>
        <v>612337</v>
      </c>
      <c r="AR10" s="130"/>
      <c r="AS10" s="130"/>
      <c r="AT10" s="130"/>
      <c r="AU10" s="130"/>
      <c r="AV10" s="130"/>
      <c r="AW10" s="130"/>
      <c r="AX10" s="130"/>
      <c r="AY10" s="130"/>
      <c r="AZ10" s="130">
        <f>2130480+1000000</f>
        <v>3130480</v>
      </c>
      <c r="BA10" s="76">
        <f t="shared" si="12"/>
        <v>7076388</v>
      </c>
      <c r="BB10" s="49"/>
      <c r="BC10" s="78">
        <f t="shared" si="13"/>
        <v>1202788.3333333335</v>
      </c>
      <c r="BD10" s="78">
        <f t="shared" si="5"/>
        <v>1575187.5</v>
      </c>
      <c r="BE10" s="78">
        <f t="shared" si="5"/>
        <v>510280.83333333337</v>
      </c>
      <c r="BF10" s="78">
        <f t="shared" si="5"/>
        <v>0</v>
      </c>
      <c r="BG10" s="78">
        <f t="shared" si="5"/>
        <v>0</v>
      </c>
      <c r="BH10" s="78">
        <f t="shared" si="5"/>
        <v>0</v>
      </c>
      <c r="BI10" s="78">
        <f t="shared" si="5"/>
        <v>0</v>
      </c>
      <c r="BJ10" s="78">
        <f t="shared" si="5"/>
        <v>0</v>
      </c>
      <c r="BK10" s="78">
        <f t="shared" si="5"/>
        <v>0</v>
      </c>
      <c r="BL10" s="78">
        <f t="shared" si="5"/>
        <v>0</v>
      </c>
      <c r="BM10" s="78">
        <f t="shared" si="5"/>
        <v>0</v>
      </c>
      <c r="BN10" s="78">
        <f t="shared" si="5"/>
        <v>2608733.3333333335</v>
      </c>
      <c r="BO10" s="129">
        <f t="shared" si="8"/>
        <v>5896990</v>
      </c>
    </row>
    <row r="11" spans="1:67" ht="19.5" customHeight="1" thickBot="1" x14ac:dyDescent="0.3">
      <c r="A11" s="80" t="s">
        <v>198</v>
      </c>
      <c r="B11" s="70" t="s">
        <v>240</v>
      </c>
      <c r="C11" s="71"/>
      <c r="D11" s="61"/>
      <c r="E11" s="72">
        <f t="shared" si="6"/>
        <v>0</v>
      </c>
      <c r="F11" s="81">
        <f t="shared" ref="F11:F12" si="15">AA11+AE11+AI11+AM11</f>
        <v>1749000</v>
      </c>
      <c r="G11" s="72" t="e">
        <f>#REF!</f>
        <v>#REF!</v>
      </c>
      <c r="H11" s="72"/>
      <c r="I11" s="74">
        <v>1</v>
      </c>
      <c r="J11" s="75">
        <v>20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6">
        <f t="shared" si="7"/>
        <v>0</v>
      </c>
      <c r="X11" s="77"/>
      <c r="Y11" s="77"/>
      <c r="Z11" s="77"/>
      <c r="AA11" s="78">
        <f t="shared" si="9"/>
        <v>254783</v>
      </c>
      <c r="AB11" s="78">
        <v>468500</v>
      </c>
      <c r="AC11" s="78">
        <v>468500</v>
      </c>
      <c r="AD11" s="78">
        <v>468500</v>
      </c>
      <c r="AE11" s="78">
        <f t="shared" si="10"/>
        <v>582999</v>
      </c>
      <c r="AF11" s="78">
        <v>468500</v>
      </c>
      <c r="AG11" s="78">
        <v>468500</v>
      </c>
      <c r="AH11" s="78">
        <v>418500</v>
      </c>
      <c r="AI11" s="78">
        <f>SUM(AU11:AW11)</f>
        <v>582999</v>
      </c>
      <c r="AJ11" s="78">
        <v>418700</v>
      </c>
      <c r="AK11" s="78"/>
      <c r="AL11" s="78"/>
      <c r="AM11" s="78">
        <f t="shared" si="11"/>
        <v>328219</v>
      </c>
      <c r="AO11" s="77"/>
      <c r="AP11" s="77">
        <v>60450</v>
      </c>
      <c r="AQ11" s="77">
        <v>194333</v>
      </c>
      <c r="AR11" s="77">
        <v>194333</v>
      </c>
      <c r="AS11" s="77">
        <v>194333</v>
      </c>
      <c r="AT11" s="77">
        <v>194333</v>
      </c>
      <c r="AU11" s="77">
        <v>194333</v>
      </c>
      <c r="AV11" s="77">
        <v>194333</v>
      </c>
      <c r="AW11" s="77">
        <v>194333</v>
      </c>
      <c r="AX11" s="77">
        <v>194333</v>
      </c>
      <c r="AY11" s="77">
        <f>133886</f>
        <v>133886</v>
      </c>
      <c r="AZ11" s="77"/>
      <c r="BA11" s="76">
        <f t="shared" si="12"/>
        <v>1749000</v>
      </c>
      <c r="BB11" s="49"/>
      <c r="BC11" s="78">
        <f t="shared" si="13"/>
        <v>0</v>
      </c>
      <c r="BD11" s="78">
        <f t="shared" si="5"/>
        <v>50375</v>
      </c>
      <c r="BE11" s="78">
        <f t="shared" si="5"/>
        <v>161944.16666666669</v>
      </c>
      <c r="BF11" s="78">
        <f t="shared" si="5"/>
        <v>161944.16666666669</v>
      </c>
      <c r="BG11" s="78">
        <f t="shared" si="5"/>
        <v>161944.16666666669</v>
      </c>
      <c r="BH11" s="78">
        <f t="shared" si="5"/>
        <v>161944.16666666669</v>
      </c>
      <c r="BI11" s="78">
        <f t="shared" si="5"/>
        <v>161944.16666666669</v>
      </c>
      <c r="BJ11" s="78">
        <f t="shared" si="5"/>
        <v>161944.16666666669</v>
      </c>
      <c r="BK11" s="78">
        <f t="shared" si="5"/>
        <v>161944.16666666669</v>
      </c>
      <c r="BL11" s="78">
        <f t="shared" si="5"/>
        <v>161944.16666666669</v>
      </c>
      <c r="BM11" s="78">
        <f t="shared" si="5"/>
        <v>111571.66666666667</v>
      </c>
      <c r="BN11" s="78">
        <f t="shared" si="5"/>
        <v>0</v>
      </c>
      <c r="BO11" s="76">
        <f t="shared" si="8"/>
        <v>1457500.0000000005</v>
      </c>
    </row>
    <row r="12" spans="1:67" ht="25.5" customHeight="1" thickBot="1" x14ac:dyDescent="0.3">
      <c r="A12" s="82">
        <v>2</v>
      </c>
      <c r="B12" s="83" t="s">
        <v>241</v>
      </c>
      <c r="C12" s="71"/>
      <c r="D12" s="71"/>
      <c r="E12" s="72">
        <f t="shared" si="6"/>
        <v>0</v>
      </c>
      <c r="F12" s="81">
        <f t="shared" si="15"/>
        <v>1099000</v>
      </c>
      <c r="G12" s="72" t="e">
        <f>#REF!</f>
        <v>#REF!</v>
      </c>
      <c r="H12" s="72"/>
      <c r="I12" s="74">
        <v>1</v>
      </c>
      <c r="J12" s="75">
        <v>20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6">
        <f t="shared" si="7"/>
        <v>0</v>
      </c>
      <c r="X12" s="77">
        <v>122000</v>
      </c>
      <c r="Y12" s="77">
        <v>70000</v>
      </c>
      <c r="Z12" s="77">
        <v>88000</v>
      </c>
      <c r="AA12" s="78">
        <f t="shared" si="9"/>
        <v>29282</v>
      </c>
      <c r="AB12" s="78">
        <v>120000</v>
      </c>
      <c r="AC12" s="78">
        <v>120000</v>
      </c>
      <c r="AD12" s="78">
        <v>120000</v>
      </c>
      <c r="AE12" s="78">
        <f t="shared" si="10"/>
        <v>420695</v>
      </c>
      <c r="AF12" s="78">
        <v>130000</v>
      </c>
      <c r="AG12" s="78">
        <v>120000</v>
      </c>
      <c r="AH12" s="78">
        <v>155000</v>
      </c>
      <c r="AI12" s="78">
        <f>SUM(AU12:AW12)</f>
        <v>576315</v>
      </c>
      <c r="AJ12" s="78">
        <v>155000</v>
      </c>
      <c r="AK12" s="78">
        <v>150000</v>
      </c>
      <c r="AL12" s="78">
        <v>150000</v>
      </c>
      <c r="AM12" s="78">
        <f t="shared" si="11"/>
        <v>72708</v>
      </c>
      <c r="AO12" s="79"/>
      <c r="AP12" s="79"/>
      <c r="AQ12" s="77">
        <f>29282</f>
        <v>29282</v>
      </c>
      <c r="AR12" s="77">
        <v>186352</v>
      </c>
      <c r="AS12" s="77">
        <f>171582+46</f>
        <v>171628</v>
      </c>
      <c r="AT12" s="77">
        <v>62715</v>
      </c>
      <c r="AU12" s="77">
        <v>98600</v>
      </c>
      <c r="AV12" s="77">
        <f>272715</f>
        <v>272715</v>
      </c>
      <c r="AW12" s="77">
        <v>205000</v>
      </c>
      <c r="AX12" s="77">
        <f>72708</f>
        <v>72708</v>
      </c>
      <c r="AY12" s="79"/>
      <c r="AZ12" s="79"/>
      <c r="BA12" s="76">
        <f t="shared" si="12"/>
        <v>1099000</v>
      </c>
      <c r="BB12" s="49"/>
      <c r="BC12" s="78">
        <f t="shared" si="13"/>
        <v>0</v>
      </c>
      <c r="BD12" s="78">
        <f t="shared" si="5"/>
        <v>0</v>
      </c>
      <c r="BE12" s="78">
        <f t="shared" si="5"/>
        <v>24401.666666666668</v>
      </c>
      <c r="BF12" s="78">
        <f t="shared" si="5"/>
        <v>155293.33333333334</v>
      </c>
      <c r="BG12" s="78">
        <f t="shared" si="5"/>
        <v>143023.33333333334</v>
      </c>
      <c r="BH12" s="78">
        <f t="shared" si="5"/>
        <v>52262.5</v>
      </c>
      <c r="BI12" s="78">
        <f t="shared" si="5"/>
        <v>82166.666666666672</v>
      </c>
      <c r="BJ12" s="78">
        <f t="shared" si="5"/>
        <v>227262.5</v>
      </c>
      <c r="BK12" s="78">
        <f t="shared" si="5"/>
        <v>170833.33333333334</v>
      </c>
      <c r="BL12" s="78">
        <f t="shared" si="5"/>
        <v>60590</v>
      </c>
      <c r="BM12" s="78">
        <f t="shared" si="5"/>
        <v>0</v>
      </c>
      <c r="BN12" s="78">
        <f t="shared" si="5"/>
        <v>0</v>
      </c>
      <c r="BO12" s="129">
        <f>SUM(BC12:BN12)</f>
        <v>915833.33333333337</v>
      </c>
    </row>
    <row r="13" spans="1:67" ht="25.5" customHeight="1" thickBot="1" x14ac:dyDescent="0.3">
      <c r="A13" s="82">
        <v>3</v>
      </c>
      <c r="B13" s="83" t="s">
        <v>242</v>
      </c>
      <c r="C13" s="71"/>
      <c r="D13" s="71"/>
      <c r="E13" s="72">
        <f t="shared" si="6"/>
        <v>0</v>
      </c>
      <c r="F13" s="84">
        <f>AA13+AE13+AI13+AM13</f>
        <v>22711545</v>
      </c>
      <c r="G13" s="72" t="e">
        <f>#REF!</f>
        <v>#REF!</v>
      </c>
      <c r="H13" s="72"/>
      <c r="I13" s="74">
        <v>1</v>
      </c>
      <c r="J13" s="75">
        <v>20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6">
        <f t="shared" si="7"/>
        <v>0</v>
      </c>
      <c r="X13" s="77">
        <v>1024000</v>
      </c>
      <c r="Y13" s="77">
        <v>1950000</v>
      </c>
      <c r="Z13" s="77">
        <v>700000</v>
      </c>
      <c r="AA13" s="78">
        <f t="shared" si="9"/>
        <v>1849462</v>
      </c>
      <c r="AB13" s="78">
        <v>1190508</v>
      </c>
      <c r="AC13" s="78">
        <v>1130000</v>
      </c>
      <c r="AD13" s="78">
        <v>1065508</v>
      </c>
      <c r="AE13" s="78">
        <f t="shared" si="10"/>
        <v>5507274</v>
      </c>
      <c r="AF13" s="78">
        <v>1068508</v>
      </c>
      <c r="AG13" s="78">
        <v>1066508</v>
      </c>
      <c r="AH13" s="78">
        <v>1129103</v>
      </c>
      <c r="AI13" s="78">
        <f>SUM(AU13:AW13)</f>
        <v>9322131</v>
      </c>
      <c r="AJ13" s="78">
        <v>989338</v>
      </c>
      <c r="AK13" s="78">
        <v>1120000</v>
      </c>
      <c r="AL13" s="78">
        <v>1066527</v>
      </c>
      <c r="AM13" s="78">
        <f t="shared" si="11"/>
        <v>6032678</v>
      </c>
      <c r="AO13" s="79">
        <f>46255</f>
        <v>46255</v>
      </c>
      <c r="AP13" s="79">
        <f>7+885000-500000</f>
        <v>385007</v>
      </c>
      <c r="AQ13" s="79">
        <f>1912000-493800</f>
        <v>1418200</v>
      </c>
      <c r="AR13" s="79">
        <f>1692000-350000+500000</f>
        <v>1842000</v>
      </c>
      <c r="AS13" s="79">
        <f>887577+1636000-500000-500000</f>
        <v>1523577</v>
      </c>
      <c r="AT13" s="79">
        <f>2641697-500000</f>
        <v>2141697</v>
      </c>
      <c r="AU13" s="79">
        <f>2622000-220000+887577-500000</f>
        <v>2789577</v>
      </c>
      <c r="AV13" s="79">
        <f>887577+2328750</f>
        <v>3216327</v>
      </c>
      <c r="AW13" s="79">
        <f>887577+2728650-300000</f>
        <v>3316227</v>
      </c>
      <c r="AX13" s="79">
        <f>1261001+887577</f>
        <v>2148578</v>
      </c>
      <c r="AY13" s="79">
        <v>1984000</v>
      </c>
      <c r="AZ13" s="79">
        <f>1900100</f>
        <v>1900100</v>
      </c>
      <c r="BA13" s="76">
        <f t="shared" si="12"/>
        <v>22711545</v>
      </c>
      <c r="BB13" s="49"/>
      <c r="BC13" s="78">
        <f t="shared" si="13"/>
        <v>38545.833333333336</v>
      </c>
      <c r="BD13" s="78">
        <f t="shared" si="5"/>
        <v>320839.16666666669</v>
      </c>
      <c r="BE13" s="78">
        <f t="shared" si="5"/>
        <v>1181833.3333333335</v>
      </c>
      <c r="BF13" s="78">
        <f t="shared" si="5"/>
        <v>1535000</v>
      </c>
      <c r="BG13" s="78">
        <f t="shared" si="5"/>
        <v>1269647.5</v>
      </c>
      <c r="BH13" s="78">
        <f t="shared" si="5"/>
        <v>1784747.5</v>
      </c>
      <c r="BI13" s="78">
        <f t="shared" si="5"/>
        <v>2324647.5</v>
      </c>
      <c r="BJ13" s="78">
        <f t="shared" si="5"/>
        <v>2680272.5</v>
      </c>
      <c r="BK13" s="78">
        <f t="shared" si="5"/>
        <v>2763522.5</v>
      </c>
      <c r="BL13" s="78">
        <f t="shared" si="5"/>
        <v>1790481.6666666667</v>
      </c>
      <c r="BM13" s="78">
        <f t="shared" si="5"/>
        <v>1653333.3333333335</v>
      </c>
      <c r="BN13" s="78">
        <f t="shared" si="5"/>
        <v>1583416.6666666667</v>
      </c>
      <c r="BO13" s="129">
        <f>SUM(BC13:BN13)</f>
        <v>18926287.5</v>
      </c>
    </row>
    <row r="14" spans="1:67" ht="24" customHeight="1" thickBot="1" x14ac:dyDescent="0.3">
      <c r="A14" s="82">
        <v>4</v>
      </c>
      <c r="B14" s="83" t="s">
        <v>243</v>
      </c>
      <c r="C14" s="71"/>
      <c r="D14" s="71"/>
      <c r="E14" s="72">
        <f t="shared" si="6"/>
        <v>0</v>
      </c>
      <c r="F14" s="81">
        <f t="shared" ref="F14:F26" si="16">AA14+AE14+AI14+AM14</f>
        <v>4151810</v>
      </c>
      <c r="G14" s="72" t="e">
        <f>#REF!</f>
        <v>#REF!</v>
      </c>
      <c r="H14" s="72"/>
      <c r="I14" s="74">
        <v>1</v>
      </c>
      <c r="J14" s="75">
        <v>20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6">
        <f t="shared" si="7"/>
        <v>0</v>
      </c>
      <c r="X14" s="77">
        <v>58000</v>
      </c>
      <c r="Y14" s="77">
        <v>360000</v>
      </c>
      <c r="Z14" s="77">
        <v>230000</v>
      </c>
      <c r="AA14" s="78">
        <f t="shared" si="9"/>
        <v>843443</v>
      </c>
      <c r="AB14" s="78">
        <v>370000</v>
      </c>
      <c r="AC14" s="78">
        <v>430000</v>
      </c>
      <c r="AD14" s="78">
        <v>540000</v>
      </c>
      <c r="AE14" s="78">
        <f>SUM(AR14:AT14)</f>
        <v>978782</v>
      </c>
      <c r="AF14" s="78">
        <v>550000</v>
      </c>
      <c r="AG14" s="78">
        <v>480000</v>
      </c>
      <c r="AH14" s="78">
        <v>420000</v>
      </c>
      <c r="AI14" s="78">
        <f>SUM(AU14:AW14)</f>
        <v>1465252</v>
      </c>
      <c r="AJ14" s="78">
        <v>380000</v>
      </c>
      <c r="AK14" s="78">
        <v>382000</v>
      </c>
      <c r="AL14" s="78">
        <v>300000</v>
      </c>
      <c r="AM14" s="78">
        <f t="shared" si="11"/>
        <v>864333</v>
      </c>
      <c r="AO14" s="79">
        <f>130000</f>
        <v>130000</v>
      </c>
      <c r="AP14" s="79">
        <f>250000-16057</f>
        <v>233943</v>
      </c>
      <c r="AQ14" s="79">
        <v>479500</v>
      </c>
      <c r="AR14" s="79">
        <f>731250-500000</f>
        <v>231250</v>
      </c>
      <c r="AS14" s="79">
        <f>830500-500000</f>
        <v>330500</v>
      </c>
      <c r="AT14" s="79">
        <f>917032-500000</f>
        <v>417032</v>
      </c>
      <c r="AU14" s="79">
        <f>955250-500000</f>
        <v>455250</v>
      </c>
      <c r="AV14" s="79">
        <f>1080002-600000</f>
        <v>480002</v>
      </c>
      <c r="AW14" s="79">
        <f>1030000-500000</f>
        <v>530000</v>
      </c>
      <c r="AX14" s="79">
        <f>800000-500000</f>
        <v>300000</v>
      </c>
      <c r="AY14" s="79">
        <f>536000-250000</f>
        <v>286000</v>
      </c>
      <c r="AZ14" s="79">
        <f>428333-150000</f>
        <v>278333</v>
      </c>
      <c r="BA14" s="76">
        <f t="shared" si="12"/>
        <v>4151810</v>
      </c>
      <c r="BB14" s="49"/>
      <c r="BC14" s="78">
        <f t="shared" si="13"/>
        <v>108333.33333333334</v>
      </c>
      <c r="BD14" s="78">
        <f t="shared" si="5"/>
        <v>194952.5</v>
      </c>
      <c r="BE14" s="78">
        <f t="shared" si="5"/>
        <v>399583.33333333337</v>
      </c>
      <c r="BF14" s="78">
        <f t="shared" si="5"/>
        <v>192708.33333333334</v>
      </c>
      <c r="BG14" s="78">
        <f t="shared" si="5"/>
        <v>275416.66666666669</v>
      </c>
      <c r="BH14" s="78">
        <f t="shared" si="5"/>
        <v>347526.66666666669</v>
      </c>
      <c r="BI14" s="78">
        <f t="shared" si="5"/>
        <v>379375</v>
      </c>
      <c r="BJ14" s="78">
        <f t="shared" si="5"/>
        <v>400001.66666666669</v>
      </c>
      <c r="BK14" s="78">
        <f t="shared" si="5"/>
        <v>441666.66666666669</v>
      </c>
      <c r="BL14" s="78">
        <f t="shared" si="5"/>
        <v>250000</v>
      </c>
      <c r="BM14" s="78">
        <f t="shared" si="5"/>
        <v>238333.33333333334</v>
      </c>
      <c r="BN14" s="78">
        <f t="shared" si="5"/>
        <v>231944.16666666669</v>
      </c>
      <c r="BO14" s="129">
        <f t="shared" si="8"/>
        <v>3459841.6666666665</v>
      </c>
    </row>
    <row r="15" spans="1:67" ht="32.25" thickBot="1" x14ac:dyDescent="0.3">
      <c r="A15" s="82">
        <v>5</v>
      </c>
      <c r="B15" s="83" t="s">
        <v>244</v>
      </c>
      <c r="C15" s="71"/>
      <c r="D15" s="71"/>
      <c r="E15" s="72">
        <f t="shared" si="6"/>
        <v>0</v>
      </c>
      <c r="F15" s="81">
        <f t="shared" si="16"/>
        <v>10213718</v>
      </c>
      <c r="G15" s="72" t="e">
        <f>#REF!</f>
        <v>#REF!</v>
      </c>
      <c r="H15" s="72"/>
      <c r="I15" s="74">
        <v>1</v>
      </c>
      <c r="J15" s="75">
        <v>20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6">
        <f t="shared" si="7"/>
        <v>0</v>
      </c>
      <c r="X15" s="77">
        <v>671000</v>
      </c>
      <c r="Y15" s="77">
        <v>865000</v>
      </c>
      <c r="Z15" s="77">
        <v>390000</v>
      </c>
      <c r="AA15" s="78">
        <f t="shared" si="9"/>
        <v>1676192</v>
      </c>
      <c r="AB15" s="78">
        <v>650000</v>
      </c>
      <c r="AC15" s="78">
        <v>660000</v>
      </c>
      <c r="AD15" s="78">
        <v>665000</v>
      </c>
      <c r="AE15" s="78">
        <f t="shared" si="10"/>
        <v>2629530</v>
      </c>
      <c r="AF15" s="78">
        <v>670000</v>
      </c>
      <c r="AG15" s="78">
        <v>670000</v>
      </c>
      <c r="AH15" s="78">
        <v>665000</v>
      </c>
      <c r="AI15" s="78">
        <f>SUM(AU15:AW15)</f>
        <v>3646084</v>
      </c>
      <c r="AJ15" s="78">
        <v>675000</v>
      </c>
      <c r="AK15" s="78">
        <v>745000</v>
      </c>
      <c r="AL15" s="78">
        <v>674000</v>
      </c>
      <c r="AM15" s="78">
        <f t="shared" si="11"/>
        <v>2261912</v>
      </c>
      <c r="AO15" s="79">
        <f>1062653-500000</f>
        <v>562653</v>
      </c>
      <c r="AP15" s="79">
        <f>1050275-500000</f>
        <v>550275</v>
      </c>
      <c r="AQ15" s="79">
        <f>1063264-500000</f>
        <v>563264</v>
      </c>
      <c r="AR15" s="79">
        <f>836337</f>
        <v>836337</v>
      </c>
      <c r="AS15" s="79">
        <f>845320</f>
        <v>845320</v>
      </c>
      <c r="AT15" s="79">
        <f>1947873-1000000</f>
        <v>947873</v>
      </c>
      <c r="AU15" s="79">
        <f>1620822-1000000</f>
        <v>620822</v>
      </c>
      <c r="AV15" s="79">
        <v>1562785</v>
      </c>
      <c r="AW15" s="79">
        <v>1462477</v>
      </c>
      <c r="AX15" s="79">
        <f>1020330-500000</f>
        <v>520330</v>
      </c>
      <c r="AY15" s="79">
        <v>987520</v>
      </c>
      <c r="AZ15" s="79">
        <f>723332+30730</f>
        <v>754062</v>
      </c>
      <c r="BA15" s="76">
        <f t="shared" si="12"/>
        <v>10213718</v>
      </c>
      <c r="BB15" s="49"/>
      <c r="BC15" s="78">
        <f t="shared" si="13"/>
        <v>468877.5</v>
      </c>
      <c r="BD15" s="78">
        <f t="shared" si="5"/>
        <v>458562.5</v>
      </c>
      <c r="BE15" s="78">
        <f t="shared" si="5"/>
        <v>469386.66666666669</v>
      </c>
      <c r="BF15" s="78">
        <f t="shared" si="5"/>
        <v>696947.5</v>
      </c>
      <c r="BG15" s="78">
        <f t="shared" si="5"/>
        <v>704433.33333333337</v>
      </c>
      <c r="BH15" s="78">
        <f t="shared" si="5"/>
        <v>789894.16666666674</v>
      </c>
      <c r="BI15" s="78">
        <f t="shared" si="5"/>
        <v>517351.66666666669</v>
      </c>
      <c r="BJ15" s="78">
        <f t="shared" si="5"/>
        <v>1302320.8333333335</v>
      </c>
      <c r="BK15" s="78">
        <f t="shared" si="5"/>
        <v>1218730.8333333335</v>
      </c>
      <c r="BL15" s="78">
        <f t="shared" si="5"/>
        <v>433608.33333333337</v>
      </c>
      <c r="BM15" s="78">
        <f t="shared" si="5"/>
        <v>822933.33333333337</v>
      </c>
      <c r="BN15" s="78">
        <f t="shared" si="5"/>
        <v>628385</v>
      </c>
      <c r="BO15" s="129">
        <f>SUM(BC15:BN15)</f>
        <v>8511431.666666666</v>
      </c>
    </row>
    <row r="16" spans="1:67" ht="22.5" customHeight="1" thickBot="1" x14ac:dyDescent="0.3">
      <c r="A16" s="82">
        <v>6</v>
      </c>
      <c r="B16" s="83" t="s">
        <v>245</v>
      </c>
      <c r="C16" s="71"/>
      <c r="D16" s="71"/>
      <c r="E16" s="72">
        <f t="shared" si="6"/>
        <v>0</v>
      </c>
      <c r="F16" s="81">
        <f t="shared" si="16"/>
        <v>15314280</v>
      </c>
      <c r="G16" s="72" t="e">
        <f>#REF!</f>
        <v>#REF!</v>
      </c>
      <c r="H16" s="72"/>
      <c r="I16" s="74">
        <v>1</v>
      </c>
      <c r="J16" s="75">
        <v>20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6">
        <f t="shared" si="7"/>
        <v>0</v>
      </c>
      <c r="X16" s="77">
        <v>819000</v>
      </c>
      <c r="Y16" s="77">
        <v>680662</v>
      </c>
      <c r="Z16" s="77">
        <v>420000</v>
      </c>
      <c r="AA16" s="78">
        <f t="shared" si="9"/>
        <v>3340000</v>
      </c>
      <c r="AB16" s="78">
        <v>680000</v>
      </c>
      <c r="AC16" s="78">
        <v>650000</v>
      </c>
      <c r="AD16" s="78">
        <v>650000</v>
      </c>
      <c r="AE16" s="78">
        <f t="shared" si="10"/>
        <v>3885000</v>
      </c>
      <c r="AF16" s="78">
        <v>620000</v>
      </c>
      <c r="AG16" s="78">
        <v>680000</v>
      </c>
      <c r="AH16" s="78">
        <v>680000</v>
      </c>
      <c r="AI16" s="78">
        <f t="shared" ref="AI16:AI28" si="17">SUM(AU16:AW16)</f>
        <v>3890000</v>
      </c>
      <c r="AJ16" s="78">
        <v>727558</v>
      </c>
      <c r="AK16" s="78">
        <v>600000</v>
      </c>
      <c r="AL16" s="78">
        <v>476338</v>
      </c>
      <c r="AM16" s="78">
        <f t="shared" si="11"/>
        <v>4199280</v>
      </c>
      <c r="AO16" s="130">
        <f>1950000-1000000</f>
        <v>950000</v>
      </c>
      <c r="AP16" s="130">
        <f>1320000</f>
        <v>1320000</v>
      </c>
      <c r="AQ16" s="130">
        <f>1570000-500000</f>
        <v>1070000</v>
      </c>
      <c r="AR16" s="130">
        <v>1050000</v>
      </c>
      <c r="AS16" s="130">
        <v>1480000</v>
      </c>
      <c r="AT16" s="130">
        <f>1855000-500000</f>
        <v>1355000</v>
      </c>
      <c r="AU16" s="130">
        <f>1630000</f>
        <v>1630000</v>
      </c>
      <c r="AV16" s="130">
        <f>1650000-500000</f>
        <v>1150000</v>
      </c>
      <c r="AW16" s="130">
        <f>1610000-500000</f>
        <v>1110000</v>
      </c>
      <c r="AX16" s="130">
        <f>1575191</f>
        <v>1575191</v>
      </c>
      <c r="AY16" s="130">
        <f>1200000</f>
        <v>1200000</v>
      </c>
      <c r="AZ16" s="130">
        <f>1424089</f>
        <v>1424089</v>
      </c>
      <c r="BA16" s="76">
        <f t="shared" si="12"/>
        <v>15314280</v>
      </c>
      <c r="BB16" s="49"/>
      <c r="BC16" s="78">
        <f t="shared" si="13"/>
        <v>791666.66666666674</v>
      </c>
      <c r="BD16" s="78">
        <f t="shared" si="5"/>
        <v>1100000</v>
      </c>
      <c r="BE16" s="78">
        <f t="shared" si="5"/>
        <v>891666.66666666674</v>
      </c>
      <c r="BF16" s="78">
        <f t="shared" si="5"/>
        <v>875000</v>
      </c>
      <c r="BG16" s="78">
        <f t="shared" si="5"/>
        <v>1233333.3333333335</v>
      </c>
      <c r="BH16" s="78">
        <f t="shared" si="5"/>
        <v>1129166.6666666667</v>
      </c>
      <c r="BI16" s="78">
        <f t="shared" si="5"/>
        <v>1358333.3333333335</v>
      </c>
      <c r="BJ16" s="78">
        <f t="shared" si="5"/>
        <v>958333.33333333337</v>
      </c>
      <c r="BK16" s="78">
        <f t="shared" si="5"/>
        <v>925000</v>
      </c>
      <c r="BL16" s="78">
        <f t="shared" si="5"/>
        <v>1312659.1666666667</v>
      </c>
      <c r="BM16" s="78">
        <f t="shared" si="5"/>
        <v>1000000</v>
      </c>
      <c r="BN16" s="78">
        <f t="shared" si="5"/>
        <v>1186740.8333333335</v>
      </c>
      <c r="BO16" s="76">
        <f t="shared" si="8"/>
        <v>12761900</v>
      </c>
    </row>
    <row r="17" spans="1:67" ht="22.5" customHeight="1" thickBot="1" x14ac:dyDescent="0.3">
      <c r="A17" s="82">
        <v>7</v>
      </c>
      <c r="B17" s="83" t="s">
        <v>246</v>
      </c>
      <c r="C17" s="71"/>
      <c r="D17" s="71"/>
      <c r="E17" s="72">
        <f t="shared" si="6"/>
        <v>0</v>
      </c>
      <c r="F17" s="81">
        <f t="shared" si="16"/>
        <v>0</v>
      </c>
      <c r="G17" s="72" t="e">
        <f>#REF!</f>
        <v>#REF!</v>
      </c>
      <c r="H17" s="72"/>
      <c r="I17" s="74">
        <v>1</v>
      </c>
      <c r="J17" s="75">
        <v>20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6">
        <f t="shared" si="7"/>
        <v>0</v>
      </c>
      <c r="X17" s="77"/>
      <c r="Y17" s="77"/>
      <c r="Z17" s="77"/>
      <c r="AA17" s="78">
        <f t="shared" si="9"/>
        <v>0</v>
      </c>
      <c r="AB17" s="78"/>
      <c r="AC17" s="78"/>
      <c r="AD17" s="78"/>
      <c r="AE17" s="78">
        <f t="shared" si="10"/>
        <v>0</v>
      </c>
      <c r="AF17" s="78"/>
      <c r="AG17" s="78"/>
      <c r="AH17" s="78"/>
      <c r="AI17" s="78">
        <f t="shared" si="17"/>
        <v>0</v>
      </c>
      <c r="AJ17" s="78"/>
      <c r="AK17" s="78"/>
      <c r="AL17" s="78"/>
      <c r="AM17" s="78">
        <f t="shared" si="11"/>
        <v>0</v>
      </c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6">
        <f t="shared" si="12"/>
        <v>0</v>
      </c>
      <c r="BB17" s="49"/>
      <c r="BC17" s="78">
        <f t="shared" si="13"/>
        <v>0</v>
      </c>
      <c r="BD17" s="78">
        <f t="shared" si="5"/>
        <v>0</v>
      </c>
      <c r="BE17" s="78">
        <f t="shared" si="5"/>
        <v>0</v>
      </c>
      <c r="BF17" s="78">
        <f t="shared" si="5"/>
        <v>0</v>
      </c>
      <c r="BG17" s="78">
        <f t="shared" si="5"/>
        <v>0</v>
      </c>
      <c r="BH17" s="78">
        <f t="shared" si="5"/>
        <v>0</v>
      </c>
      <c r="BI17" s="78">
        <f t="shared" si="5"/>
        <v>0</v>
      </c>
      <c r="BJ17" s="78">
        <f t="shared" si="5"/>
        <v>0</v>
      </c>
      <c r="BK17" s="78">
        <f t="shared" si="5"/>
        <v>0</v>
      </c>
      <c r="BL17" s="78">
        <f t="shared" si="5"/>
        <v>0</v>
      </c>
      <c r="BM17" s="78">
        <f t="shared" si="5"/>
        <v>0</v>
      </c>
      <c r="BN17" s="78">
        <f t="shared" si="5"/>
        <v>0</v>
      </c>
      <c r="BO17" s="76">
        <f t="shared" si="8"/>
        <v>0</v>
      </c>
    </row>
    <row r="18" spans="1:67" ht="21" customHeight="1" thickBot="1" x14ac:dyDescent="0.3">
      <c r="A18" s="80" t="s">
        <v>199</v>
      </c>
      <c r="B18" s="70" t="s">
        <v>247</v>
      </c>
      <c r="C18" s="71"/>
      <c r="D18" s="71"/>
      <c r="E18" s="72"/>
      <c r="F18" s="81">
        <f t="shared" si="16"/>
        <v>8216340</v>
      </c>
      <c r="G18" s="72" t="e">
        <f>#REF!</f>
        <v>#REF!</v>
      </c>
      <c r="H18" s="72"/>
      <c r="I18" s="74">
        <v>1</v>
      </c>
      <c r="J18" s="75">
        <v>20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6">
        <f t="shared" si="7"/>
        <v>0</v>
      </c>
      <c r="X18" s="77">
        <v>182000</v>
      </c>
      <c r="Y18" s="77">
        <v>540000</v>
      </c>
      <c r="Z18" s="77">
        <v>428000</v>
      </c>
      <c r="AA18" s="78">
        <f t="shared" si="9"/>
        <v>2467380</v>
      </c>
      <c r="AB18" s="78">
        <v>545000</v>
      </c>
      <c r="AC18" s="78">
        <v>550000</v>
      </c>
      <c r="AD18" s="78">
        <v>540000</v>
      </c>
      <c r="AE18" s="78">
        <f t="shared" si="10"/>
        <v>2103050</v>
      </c>
      <c r="AF18" s="78">
        <v>542000</v>
      </c>
      <c r="AG18" s="78">
        <v>559000</v>
      </c>
      <c r="AH18" s="78">
        <v>547000</v>
      </c>
      <c r="AI18" s="78">
        <f t="shared" si="17"/>
        <v>2042110</v>
      </c>
      <c r="AJ18" s="78">
        <v>483262</v>
      </c>
      <c r="AK18" s="78">
        <v>574211</v>
      </c>
      <c r="AL18" s="78">
        <v>719629</v>
      </c>
      <c r="AM18" s="78">
        <f t="shared" si="11"/>
        <v>1603800</v>
      </c>
      <c r="AO18" s="79">
        <f>912380-200000</f>
        <v>712380</v>
      </c>
      <c r="AP18" s="79">
        <f>995000-200000</f>
        <v>795000</v>
      </c>
      <c r="AQ18" s="79">
        <f>300000+660000</f>
        <v>960000</v>
      </c>
      <c r="AR18" s="79">
        <f>1000000-200000</f>
        <v>800000</v>
      </c>
      <c r="AS18" s="79">
        <f>350050+695000-400000</f>
        <v>645050</v>
      </c>
      <c r="AT18" s="79">
        <f>1058000-400000</f>
        <v>658000</v>
      </c>
      <c r="AU18" s="79">
        <f>1159045-500000</f>
        <v>659045</v>
      </c>
      <c r="AV18" s="79">
        <f>1015000-400000</f>
        <v>615000</v>
      </c>
      <c r="AW18" s="79">
        <f>968065-200000</f>
        <v>768065</v>
      </c>
      <c r="AX18" s="79">
        <f>998000-300000</f>
        <v>698000</v>
      </c>
      <c r="AY18" s="79">
        <f>980000-200000</f>
        <v>780000</v>
      </c>
      <c r="AZ18" s="79">
        <v>125800</v>
      </c>
      <c r="BA18" s="76">
        <f t="shared" si="12"/>
        <v>8216340</v>
      </c>
      <c r="BB18" s="49"/>
      <c r="BC18" s="78">
        <f t="shared" si="13"/>
        <v>593650</v>
      </c>
      <c r="BD18" s="78">
        <f t="shared" si="5"/>
        <v>662500</v>
      </c>
      <c r="BE18" s="78">
        <f t="shared" si="5"/>
        <v>800000</v>
      </c>
      <c r="BF18" s="78">
        <f t="shared" si="5"/>
        <v>666666.66666666674</v>
      </c>
      <c r="BG18" s="78">
        <f t="shared" si="5"/>
        <v>537541.66666666674</v>
      </c>
      <c r="BH18" s="78">
        <f t="shared" si="5"/>
        <v>548333.33333333337</v>
      </c>
      <c r="BI18" s="78">
        <f t="shared" si="5"/>
        <v>549204.16666666674</v>
      </c>
      <c r="BJ18" s="78">
        <f t="shared" si="5"/>
        <v>512500</v>
      </c>
      <c r="BK18" s="78">
        <f t="shared" si="5"/>
        <v>640054.16666666674</v>
      </c>
      <c r="BL18" s="78">
        <f t="shared" si="5"/>
        <v>581666.66666666674</v>
      </c>
      <c r="BM18" s="78">
        <f t="shared" si="5"/>
        <v>650000</v>
      </c>
      <c r="BN18" s="78">
        <f t="shared" si="5"/>
        <v>104833.33333333334</v>
      </c>
      <c r="BO18" s="129">
        <f t="shared" si="8"/>
        <v>6846950.0000000009</v>
      </c>
    </row>
    <row r="19" spans="1:67" ht="21" customHeight="1" thickBot="1" x14ac:dyDescent="0.3">
      <c r="A19" s="80" t="s">
        <v>200</v>
      </c>
      <c r="B19" s="70" t="s">
        <v>248</v>
      </c>
      <c r="C19" s="71"/>
      <c r="D19" s="71"/>
      <c r="E19" s="72"/>
      <c r="F19" s="81">
        <f t="shared" si="16"/>
        <v>17049992</v>
      </c>
      <c r="G19" s="72" t="e">
        <f>#REF!</f>
        <v>#REF!</v>
      </c>
      <c r="H19" s="72"/>
      <c r="I19" s="74">
        <v>1</v>
      </c>
      <c r="J19" s="75">
        <v>20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6">
        <f t="shared" si="7"/>
        <v>0</v>
      </c>
      <c r="X19" s="77">
        <v>771000</v>
      </c>
      <c r="Y19" s="77">
        <v>800000</v>
      </c>
      <c r="Z19" s="77">
        <v>600000</v>
      </c>
      <c r="AA19" s="78">
        <f t="shared" si="9"/>
        <v>4853450</v>
      </c>
      <c r="AB19" s="78">
        <v>500000</v>
      </c>
      <c r="AC19" s="78">
        <v>500000</v>
      </c>
      <c r="AD19" s="78">
        <v>400000</v>
      </c>
      <c r="AE19" s="78">
        <f>SUM(AR19:AT19)</f>
        <v>4200450</v>
      </c>
      <c r="AF19" s="78">
        <v>400000</v>
      </c>
      <c r="AG19" s="78">
        <v>400000</v>
      </c>
      <c r="AH19" s="78">
        <v>400000</v>
      </c>
      <c r="AI19" s="78">
        <f t="shared" si="17"/>
        <v>3595775</v>
      </c>
      <c r="AJ19" s="78">
        <v>600000</v>
      </c>
      <c r="AK19" s="78">
        <v>700000</v>
      </c>
      <c r="AL19" s="78">
        <v>929000</v>
      </c>
      <c r="AM19" s="78">
        <f t="shared" si="11"/>
        <v>4400317</v>
      </c>
      <c r="AO19" s="79">
        <f>906450+700000</f>
        <v>1606450</v>
      </c>
      <c r="AP19" s="79">
        <f>996500+570000</f>
        <v>1566500</v>
      </c>
      <c r="AQ19" s="79">
        <f>980500+700000</f>
        <v>1680500</v>
      </c>
      <c r="AR19" s="79">
        <v>1590000</v>
      </c>
      <c r="AS19" s="79">
        <f>1500000+10000-50</f>
        <v>1509950</v>
      </c>
      <c r="AT19" s="79">
        <f>900500+200000</f>
        <v>1100500</v>
      </c>
      <c r="AU19" s="79">
        <f>1500230</f>
        <v>1500230</v>
      </c>
      <c r="AV19" s="79">
        <f>1740000-500000</f>
        <v>1240000</v>
      </c>
      <c r="AW19" s="79">
        <f>1855545-1000000</f>
        <v>855545</v>
      </c>
      <c r="AX19" s="79">
        <f>1950000-500000</f>
        <v>1450000</v>
      </c>
      <c r="AY19" s="79">
        <f>1995817-500000</f>
        <v>1495817</v>
      </c>
      <c r="AZ19" s="79">
        <f>1954500-500000</f>
        <v>1454500</v>
      </c>
      <c r="BA19" s="76">
        <f t="shared" si="12"/>
        <v>17049992</v>
      </c>
      <c r="BB19" s="49"/>
      <c r="BC19" s="78">
        <f t="shared" si="13"/>
        <v>1338708.3333333335</v>
      </c>
      <c r="BD19" s="78">
        <f t="shared" si="5"/>
        <v>1305416.6666666667</v>
      </c>
      <c r="BE19" s="78">
        <f t="shared" si="5"/>
        <v>1400416.6666666667</v>
      </c>
      <c r="BF19" s="78">
        <f t="shared" si="5"/>
        <v>1325000</v>
      </c>
      <c r="BG19" s="78">
        <f t="shared" si="5"/>
        <v>1258291.6666666667</v>
      </c>
      <c r="BH19" s="78">
        <f t="shared" si="5"/>
        <v>917083.33333333337</v>
      </c>
      <c r="BI19" s="78">
        <f t="shared" si="5"/>
        <v>1250191.6666666667</v>
      </c>
      <c r="BJ19" s="78">
        <f t="shared" si="5"/>
        <v>1033333.3333333334</v>
      </c>
      <c r="BK19" s="78">
        <f t="shared" si="5"/>
        <v>712954.16666666674</v>
      </c>
      <c r="BL19" s="78">
        <f t="shared" si="5"/>
        <v>1208333.3333333335</v>
      </c>
      <c r="BM19" s="78">
        <f t="shared" si="5"/>
        <v>1246514.1666666667</v>
      </c>
      <c r="BN19" s="78">
        <f t="shared" si="5"/>
        <v>1212083.3333333335</v>
      </c>
      <c r="BO19" s="76">
        <f t="shared" si="8"/>
        <v>14208326.666666668</v>
      </c>
    </row>
    <row r="20" spans="1:67" ht="22.5" customHeight="1" thickBot="1" x14ac:dyDescent="0.3">
      <c r="A20" s="82">
        <v>8</v>
      </c>
      <c r="B20" s="83" t="s">
        <v>249</v>
      </c>
      <c r="C20" s="71"/>
      <c r="D20" s="71"/>
      <c r="E20" s="72"/>
      <c r="F20" s="81">
        <f t="shared" si="16"/>
        <v>148761</v>
      </c>
      <c r="G20" s="72" t="e">
        <f>#REF!</f>
        <v>#REF!</v>
      </c>
      <c r="H20" s="72"/>
      <c r="I20" s="74">
        <v>1</v>
      </c>
      <c r="J20" s="75">
        <v>20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6">
        <f t="shared" si="7"/>
        <v>0</v>
      </c>
      <c r="X20" s="77"/>
      <c r="Y20" s="77">
        <v>13600</v>
      </c>
      <c r="Z20" s="77">
        <v>13600</v>
      </c>
      <c r="AA20" s="78">
        <f t="shared" si="9"/>
        <v>63982</v>
      </c>
      <c r="AB20" s="78">
        <v>13600</v>
      </c>
      <c r="AC20" s="78">
        <v>13600</v>
      </c>
      <c r="AD20" s="78">
        <v>13600</v>
      </c>
      <c r="AE20" s="78">
        <f>SUM(AR20:AT20)</f>
        <v>16979</v>
      </c>
      <c r="AF20" s="78">
        <v>13600</v>
      </c>
      <c r="AG20" s="78">
        <v>13600</v>
      </c>
      <c r="AH20" s="78">
        <v>13600</v>
      </c>
      <c r="AI20" s="78">
        <f t="shared" si="17"/>
        <v>67800</v>
      </c>
      <c r="AJ20" s="78">
        <v>13750</v>
      </c>
      <c r="AK20" s="78">
        <v>13750</v>
      </c>
      <c r="AL20" s="78">
        <v>13700</v>
      </c>
      <c r="AM20" s="78">
        <f t="shared" si="11"/>
        <v>0</v>
      </c>
      <c r="AO20" s="79"/>
      <c r="AP20" s="79"/>
      <c r="AQ20" s="79">
        <v>63982</v>
      </c>
      <c r="AR20" s="79"/>
      <c r="AS20" s="79">
        <f>104000-87021</f>
        <v>16979</v>
      </c>
      <c r="AT20" s="79"/>
      <c r="AU20" s="79"/>
      <c r="AV20" s="79"/>
      <c r="AW20" s="79">
        <v>67800</v>
      </c>
      <c r="AX20" s="79"/>
      <c r="AY20" s="79"/>
      <c r="AZ20" s="79"/>
      <c r="BA20" s="76">
        <f t="shared" si="12"/>
        <v>148761</v>
      </c>
      <c r="BB20" s="49"/>
      <c r="BC20" s="78">
        <f t="shared" si="13"/>
        <v>0</v>
      </c>
      <c r="BD20" s="78">
        <f t="shared" si="5"/>
        <v>0</v>
      </c>
      <c r="BE20" s="78">
        <f t="shared" si="5"/>
        <v>53318.333333333336</v>
      </c>
      <c r="BF20" s="78">
        <f t="shared" si="5"/>
        <v>0</v>
      </c>
      <c r="BG20" s="78">
        <f t="shared" si="5"/>
        <v>14149.166666666668</v>
      </c>
      <c r="BH20" s="78">
        <f t="shared" si="5"/>
        <v>0</v>
      </c>
      <c r="BI20" s="78">
        <f t="shared" si="5"/>
        <v>0</v>
      </c>
      <c r="BJ20" s="78">
        <f t="shared" si="5"/>
        <v>0</v>
      </c>
      <c r="BK20" s="78">
        <f t="shared" si="5"/>
        <v>56500</v>
      </c>
      <c r="BL20" s="78">
        <f t="shared" si="5"/>
        <v>0</v>
      </c>
      <c r="BM20" s="78">
        <f t="shared" si="5"/>
        <v>0</v>
      </c>
      <c r="BN20" s="78">
        <f t="shared" si="5"/>
        <v>0</v>
      </c>
      <c r="BO20" s="129">
        <f t="shared" si="8"/>
        <v>123967.5</v>
      </c>
    </row>
    <row r="21" spans="1:67" ht="32.25" thickBot="1" x14ac:dyDescent="0.3">
      <c r="A21" s="82">
        <v>9</v>
      </c>
      <c r="B21" s="83" t="s">
        <v>250</v>
      </c>
      <c r="C21" s="71"/>
      <c r="D21" s="71"/>
      <c r="E21" s="72"/>
      <c r="F21" s="81">
        <f t="shared" si="16"/>
        <v>80291</v>
      </c>
      <c r="G21" s="72" t="e">
        <f>#REF!</f>
        <v>#REF!</v>
      </c>
      <c r="H21" s="72"/>
      <c r="I21" s="74">
        <v>1</v>
      </c>
      <c r="J21" s="75">
        <v>0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6">
        <f t="shared" si="7"/>
        <v>0</v>
      </c>
      <c r="X21" s="77">
        <v>3088</v>
      </c>
      <c r="Y21" s="77">
        <v>6176</v>
      </c>
      <c r="Z21" s="77">
        <v>2647</v>
      </c>
      <c r="AA21" s="78">
        <f t="shared" si="9"/>
        <v>23822</v>
      </c>
      <c r="AB21" s="78">
        <v>2647</v>
      </c>
      <c r="AC21" s="78">
        <v>2647</v>
      </c>
      <c r="AD21" s="78">
        <v>2647</v>
      </c>
      <c r="AE21" s="78">
        <f>SUM(AR21:AT21)</f>
        <v>15882</v>
      </c>
      <c r="AF21" s="78">
        <v>2647</v>
      </c>
      <c r="AG21" s="78">
        <v>2647</v>
      </c>
      <c r="AH21" s="78">
        <v>2647</v>
      </c>
      <c r="AI21" s="78">
        <f t="shared" si="17"/>
        <v>23823</v>
      </c>
      <c r="AJ21" s="78">
        <v>2647</v>
      </c>
      <c r="AK21" s="78">
        <v>5294</v>
      </c>
      <c r="AL21" s="78">
        <v>6176</v>
      </c>
      <c r="AM21" s="78">
        <f t="shared" si="11"/>
        <v>16764</v>
      </c>
      <c r="AO21" s="79">
        <f>6176*2</f>
        <v>12352</v>
      </c>
      <c r="AP21" s="79">
        <f>3088*2</f>
        <v>6176</v>
      </c>
      <c r="AQ21" s="79">
        <f>2647*2</f>
        <v>5294</v>
      </c>
      <c r="AR21" s="79">
        <f>2647*3</f>
        <v>7941</v>
      </c>
      <c r="AS21" s="79">
        <v>2647</v>
      </c>
      <c r="AT21" s="79">
        <v>5294</v>
      </c>
      <c r="AU21" s="79">
        <v>5294</v>
      </c>
      <c r="AV21" s="79">
        <v>5294</v>
      </c>
      <c r="AW21" s="79">
        <f>2647*5</f>
        <v>13235</v>
      </c>
      <c r="AX21" s="79">
        <f>2647*2</f>
        <v>5294</v>
      </c>
      <c r="AY21" s="79">
        <v>5294</v>
      </c>
      <c r="AZ21" s="79">
        <v>6176</v>
      </c>
      <c r="BA21" s="76">
        <f t="shared" si="12"/>
        <v>80291</v>
      </c>
      <c r="BB21" s="49"/>
      <c r="BC21" s="78">
        <f t="shared" si="13"/>
        <v>12352</v>
      </c>
      <c r="BD21" s="78">
        <f t="shared" si="5"/>
        <v>6176</v>
      </c>
      <c r="BE21" s="78">
        <f t="shared" si="5"/>
        <v>5294</v>
      </c>
      <c r="BF21" s="78">
        <f t="shared" si="5"/>
        <v>7941</v>
      </c>
      <c r="BG21" s="78">
        <f t="shared" si="5"/>
        <v>2647</v>
      </c>
      <c r="BH21" s="78">
        <f t="shared" si="5"/>
        <v>5294</v>
      </c>
      <c r="BI21" s="78">
        <f t="shared" si="5"/>
        <v>5294</v>
      </c>
      <c r="BJ21" s="78">
        <f t="shared" si="5"/>
        <v>5294</v>
      </c>
      <c r="BK21" s="78">
        <f t="shared" si="5"/>
        <v>13235</v>
      </c>
      <c r="BL21" s="78">
        <f t="shared" si="5"/>
        <v>5294</v>
      </c>
      <c r="BM21" s="78">
        <f t="shared" si="5"/>
        <v>5294</v>
      </c>
      <c r="BN21" s="78">
        <f t="shared" si="5"/>
        <v>6176</v>
      </c>
      <c r="BO21" s="129">
        <f t="shared" si="8"/>
        <v>80291</v>
      </c>
    </row>
    <row r="22" spans="1:67" ht="32.25" hidden="1" thickBot="1" x14ac:dyDescent="0.3">
      <c r="A22" s="249" t="s">
        <v>251</v>
      </c>
      <c r="B22" s="251" t="s">
        <v>263</v>
      </c>
      <c r="C22" s="71"/>
      <c r="D22" s="71"/>
      <c r="E22" s="72"/>
      <c r="F22" s="81">
        <f t="shared" ref="F22" si="18">AA22+AE22+AI22+AM22</f>
        <v>0</v>
      </c>
      <c r="G22" s="72" t="e">
        <f>#REF!</f>
        <v>#REF!</v>
      </c>
      <c r="H22" s="72"/>
      <c r="I22" s="74">
        <v>1</v>
      </c>
      <c r="J22" s="75">
        <v>0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6">
        <f t="shared" ref="W22" si="19">SUM(K22:V22)</f>
        <v>0</v>
      </c>
      <c r="X22" s="77">
        <v>3088</v>
      </c>
      <c r="Y22" s="77">
        <v>6176</v>
      </c>
      <c r="Z22" s="77">
        <v>2647</v>
      </c>
      <c r="AA22" s="78">
        <f t="shared" ref="AA22" si="20">SUM(AO22:AQ22)</f>
        <v>0</v>
      </c>
      <c r="AB22" s="78">
        <v>2647</v>
      </c>
      <c r="AC22" s="78">
        <v>2647</v>
      </c>
      <c r="AD22" s="78">
        <v>2647</v>
      </c>
      <c r="AE22" s="78">
        <f>SUM(AR22:AT22)</f>
        <v>0</v>
      </c>
      <c r="AF22" s="78">
        <v>2647</v>
      </c>
      <c r="AG22" s="78">
        <v>2647</v>
      </c>
      <c r="AH22" s="78">
        <v>2647</v>
      </c>
      <c r="AI22" s="78">
        <f t="shared" ref="AI22" si="21">SUM(AU22:AW22)</f>
        <v>0</v>
      </c>
      <c r="AJ22" s="78">
        <v>2647</v>
      </c>
      <c r="AK22" s="78">
        <v>5294</v>
      </c>
      <c r="AL22" s="78">
        <v>6176</v>
      </c>
      <c r="AM22" s="78">
        <f t="shared" ref="AM22" si="22">SUM(AX22:AZ22)</f>
        <v>0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6">
        <f t="shared" ref="BA22" si="23">SUM(AO22:AZ22)</f>
        <v>0</v>
      </c>
      <c r="BB22" s="49"/>
      <c r="BC22" s="78">
        <f t="shared" ref="BC22" si="24">AO22/(1+$J22/100)</f>
        <v>0</v>
      </c>
      <c r="BD22" s="78">
        <f t="shared" ref="BD22" si="25">AP22/(1+$J22/100)</f>
        <v>0</v>
      </c>
      <c r="BE22" s="78">
        <f t="shared" ref="BE22" si="26">AQ22/(1+$J22/100)</f>
        <v>0</v>
      </c>
      <c r="BF22" s="78">
        <f t="shared" ref="BF22" si="27">AR22/(1+$J22/100)</f>
        <v>0</v>
      </c>
      <c r="BG22" s="78">
        <f t="shared" ref="BG22" si="28">AS22/1.2</f>
        <v>0</v>
      </c>
      <c r="BH22" s="78">
        <f t="shared" ref="BH22" si="29">AT22/1.2</f>
        <v>0</v>
      </c>
      <c r="BI22" s="78">
        <f t="shared" ref="BI22" si="30">AU22/1.2</f>
        <v>0</v>
      </c>
      <c r="BJ22" s="78">
        <f t="shared" ref="BJ22" si="31">AV22/1.2</f>
        <v>0</v>
      </c>
      <c r="BK22" s="78">
        <f t="shared" ref="BK22" si="32">AW22/1.2</f>
        <v>0</v>
      </c>
      <c r="BL22" s="78">
        <f t="shared" ref="BL22" si="33">AX22/(1+$J22/100)</f>
        <v>0</v>
      </c>
      <c r="BM22" s="78">
        <f t="shared" ref="BM22" si="34">AY22/(1+$J22/100)</f>
        <v>0</v>
      </c>
      <c r="BN22" s="78">
        <f t="shared" ref="BN22" si="35">AZ22/(1+$J22/100)</f>
        <v>0</v>
      </c>
      <c r="BO22" s="129">
        <f t="shared" ref="BO22" si="36">SUM(BC22:BN22)</f>
        <v>0</v>
      </c>
    </row>
    <row r="23" spans="1:67" ht="32.25" thickBot="1" x14ac:dyDescent="0.3">
      <c r="A23" s="82">
        <v>10</v>
      </c>
      <c r="B23" s="83" t="s">
        <v>252</v>
      </c>
      <c r="C23" s="71"/>
      <c r="D23" s="71"/>
      <c r="E23" s="72"/>
      <c r="F23" s="81">
        <f t="shared" si="16"/>
        <v>711000</v>
      </c>
      <c r="G23" s="72" t="e">
        <f>#REF!</f>
        <v>#REF!</v>
      </c>
      <c r="H23" s="72"/>
      <c r="I23" s="74">
        <v>1</v>
      </c>
      <c r="J23" s="75">
        <v>20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6">
        <f t="shared" si="7"/>
        <v>0</v>
      </c>
      <c r="X23" s="77"/>
      <c r="Y23" s="77">
        <v>20000</v>
      </c>
      <c r="Z23" s="77">
        <v>20000</v>
      </c>
      <c r="AA23" s="78">
        <f t="shared" si="9"/>
        <v>76000</v>
      </c>
      <c r="AB23" s="78">
        <v>20000</v>
      </c>
      <c r="AC23" s="78">
        <v>20000</v>
      </c>
      <c r="AD23" s="78">
        <v>45000</v>
      </c>
      <c r="AE23" s="78">
        <f>SUM(AR23:AT23)</f>
        <v>320000</v>
      </c>
      <c r="AF23" s="78">
        <v>45000</v>
      </c>
      <c r="AG23" s="78">
        <v>45000</v>
      </c>
      <c r="AH23" s="78">
        <v>40000</v>
      </c>
      <c r="AI23" s="78">
        <f t="shared" si="17"/>
        <v>235000</v>
      </c>
      <c r="AJ23" s="78">
        <v>15000</v>
      </c>
      <c r="AK23" s="78">
        <v>15000</v>
      </c>
      <c r="AL23" s="78">
        <v>15000</v>
      </c>
      <c r="AM23" s="78">
        <f t="shared" si="11"/>
        <v>80000</v>
      </c>
      <c r="AO23" s="79"/>
      <c r="AP23" s="79"/>
      <c r="AQ23" s="79">
        <f>256000-100000-80000</f>
        <v>76000</v>
      </c>
      <c r="AR23" s="79">
        <v>145000</v>
      </c>
      <c r="AS23" s="79"/>
      <c r="AT23" s="79">
        <v>175000</v>
      </c>
      <c r="AU23" s="79"/>
      <c r="AV23" s="79">
        <f>170000-80000</f>
        <v>90000</v>
      </c>
      <c r="AW23" s="79">
        <v>145000</v>
      </c>
      <c r="AX23" s="79">
        <v>80000</v>
      </c>
      <c r="AY23" s="79"/>
      <c r="AZ23" s="79"/>
      <c r="BA23" s="76">
        <f t="shared" si="12"/>
        <v>711000</v>
      </c>
      <c r="BB23" s="49"/>
      <c r="BC23" s="78">
        <f t="shared" si="13"/>
        <v>0</v>
      </c>
      <c r="BD23" s="78">
        <f t="shared" si="5"/>
        <v>0</v>
      </c>
      <c r="BE23" s="78">
        <f t="shared" si="5"/>
        <v>63333.333333333336</v>
      </c>
      <c r="BF23" s="78">
        <f t="shared" si="5"/>
        <v>120833.33333333334</v>
      </c>
      <c r="BG23" s="78">
        <f t="shared" si="5"/>
        <v>0</v>
      </c>
      <c r="BH23" s="78">
        <f t="shared" si="5"/>
        <v>145833.33333333334</v>
      </c>
      <c r="BI23" s="78">
        <f t="shared" si="5"/>
        <v>0</v>
      </c>
      <c r="BJ23" s="78">
        <f t="shared" si="5"/>
        <v>75000</v>
      </c>
      <c r="BK23" s="78">
        <f t="shared" si="5"/>
        <v>120833.33333333334</v>
      </c>
      <c r="BL23" s="78">
        <f t="shared" si="5"/>
        <v>66666.666666666672</v>
      </c>
      <c r="BM23" s="78">
        <f t="shared" si="5"/>
        <v>0</v>
      </c>
      <c r="BN23" s="78">
        <f t="shared" si="5"/>
        <v>0</v>
      </c>
      <c r="BO23" s="129">
        <f t="shared" si="8"/>
        <v>592500</v>
      </c>
    </row>
    <row r="24" spans="1:67" ht="21" customHeight="1" thickBot="1" x14ac:dyDescent="0.3">
      <c r="A24" s="82">
        <v>11</v>
      </c>
      <c r="B24" s="83" t="s">
        <v>253</v>
      </c>
      <c r="C24" s="71"/>
      <c r="D24" s="71"/>
      <c r="E24" s="72"/>
      <c r="F24" s="272">
        <f>SUM(F25:F33)</f>
        <v>10824140</v>
      </c>
      <c r="G24" s="81" t="e">
        <f t="shared" ref="G24:Z24" si="37">SUM(G25:G28)</f>
        <v>#REF!</v>
      </c>
      <c r="H24" s="81">
        <f t="shared" si="37"/>
        <v>596102</v>
      </c>
      <c r="I24" s="81">
        <f t="shared" si="37"/>
        <v>597006</v>
      </c>
      <c r="J24" s="81">
        <f t="shared" si="37"/>
        <v>3219955</v>
      </c>
      <c r="K24" s="81">
        <f t="shared" si="37"/>
        <v>402888</v>
      </c>
      <c r="L24" s="81">
        <f t="shared" si="37"/>
        <v>852890</v>
      </c>
      <c r="M24" s="81">
        <f t="shared" si="37"/>
        <v>853892</v>
      </c>
      <c r="N24" s="81">
        <f t="shared" si="37"/>
        <v>2632218</v>
      </c>
      <c r="O24" s="81">
        <f t="shared" si="37"/>
        <v>659776</v>
      </c>
      <c r="P24" s="81">
        <f t="shared" si="37"/>
        <v>1109778</v>
      </c>
      <c r="Q24" s="81">
        <f t="shared" si="37"/>
        <v>1110780</v>
      </c>
      <c r="R24" s="81">
        <f t="shared" si="37"/>
        <v>1974444</v>
      </c>
      <c r="S24" s="81">
        <f t="shared" si="37"/>
        <v>967776</v>
      </c>
      <c r="T24" s="81">
        <f t="shared" si="37"/>
        <v>5017778</v>
      </c>
      <c r="U24" s="81">
        <f t="shared" si="37"/>
        <v>1037780</v>
      </c>
      <c r="V24" s="81">
        <f t="shared" si="37"/>
        <v>1253417.6666666667</v>
      </c>
      <c r="W24" s="81">
        <f t="shared" si="37"/>
        <v>1284445.1666666667</v>
      </c>
      <c r="X24" s="81">
        <f t="shared" si="37"/>
        <v>5073294.666666667</v>
      </c>
      <c r="Y24" s="81">
        <f t="shared" si="37"/>
        <v>1329559</v>
      </c>
      <c r="Z24" s="81">
        <f t="shared" si="37"/>
        <v>1462372.6666666667</v>
      </c>
      <c r="AA24" s="85">
        <f>SUM(AA25:AA32)</f>
        <v>2328059</v>
      </c>
      <c r="AB24" s="85">
        <f t="shared" ref="AB24:AD24" si="38">SUM(AB25:AB32)</f>
        <v>766035</v>
      </c>
      <c r="AC24" s="85">
        <f t="shared" si="38"/>
        <v>816543</v>
      </c>
      <c r="AD24" s="85">
        <f t="shared" si="38"/>
        <v>766035</v>
      </c>
      <c r="AE24" s="85">
        <f>SUM(AE25:AE32)</f>
        <v>2646965</v>
      </c>
      <c r="AF24" s="85">
        <f>SUM(AF25:AF32)</f>
        <v>766035</v>
      </c>
      <c r="AG24" s="85">
        <f t="shared" ref="AG24" si="39">SUM(AG25:AG32)</f>
        <v>766035</v>
      </c>
      <c r="AH24" s="85">
        <f t="shared" ref="AH24" si="40">SUM(AH25:AH32)</f>
        <v>766035</v>
      </c>
      <c r="AI24" s="85">
        <f t="shared" ref="AI24" si="41">SUM(AI25:AI32)</f>
        <v>2973200</v>
      </c>
      <c r="AJ24" s="85">
        <f>SUM(AJ25:AJ32)</f>
        <v>766035</v>
      </c>
      <c r="AK24" s="85">
        <f t="shared" ref="AK24" si="42">SUM(AK25:AK32)</f>
        <v>816035</v>
      </c>
      <c r="AL24" s="85">
        <f t="shared" ref="AL24" si="43">SUM(AL25:AL32)</f>
        <v>1062718</v>
      </c>
      <c r="AM24" s="85">
        <f t="shared" ref="AM24" si="44">SUM(AM25:AM32)</f>
        <v>2875916</v>
      </c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6"/>
      <c r="BB24" s="49"/>
      <c r="BC24" s="78">
        <f t="shared" si="13"/>
        <v>0</v>
      </c>
      <c r="BD24" s="78">
        <f t="shared" si="13"/>
        <v>0</v>
      </c>
      <c r="BE24" s="78">
        <f t="shared" si="13"/>
        <v>0</v>
      </c>
      <c r="BF24" s="78">
        <f t="shared" si="13"/>
        <v>0</v>
      </c>
      <c r="BG24" s="78">
        <f t="shared" si="13"/>
        <v>0</v>
      </c>
      <c r="BH24" s="78">
        <f t="shared" si="13"/>
        <v>0</v>
      </c>
      <c r="BI24" s="78">
        <f t="shared" si="13"/>
        <v>0</v>
      </c>
      <c r="BJ24" s="78">
        <f t="shared" si="13"/>
        <v>0</v>
      </c>
      <c r="BK24" s="78">
        <f t="shared" si="13"/>
        <v>0</v>
      </c>
      <c r="BL24" s="78">
        <f t="shared" si="13"/>
        <v>0</v>
      </c>
      <c r="BM24" s="78">
        <f t="shared" si="13"/>
        <v>0</v>
      </c>
      <c r="BN24" s="78">
        <f t="shared" si="13"/>
        <v>0</v>
      </c>
      <c r="BO24" s="76">
        <f t="shared" si="8"/>
        <v>0</v>
      </c>
    </row>
    <row r="25" spans="1:67" ht="20.25" customHeight="1" thickBot="1" x14ac:dyDescent="0.3">
      <c r="A25" s="69" t="s">
        <v>201</v>
      </c>
      <c r="B25" s="86" t="s">
        <v>254</v>
      </c>
      <c r="C25" s="71"/>
      <c r="D25" s="71"/>
      <c r="E25" s="72"/>
      <c r="F25" s="73">
        <f>AA25+AE25+AI25+AM25</f>
        <v>931680</v>
      </c>
      <c r="G25" s="72" t="e">
        <f>#REF!</f>
        <v>#REF!</v>
      </c>
      <c r="H25" s="72"/>
      <c r="I25" s="74">
        <v>1</v>
      </c>
      <c r="J25" s="75">
        <v>20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6">
        <f t="shared" si="7"/>
        <v>0</v>
      </c>
      <c r="X25" s="77">
        <v>155980</v>
      </c>
      <c r="Y25" s="77">
        <v>162699</v>
      </c>
      <c r="Z25" s="77">
        <v>100510</v>
      </c>
      <c r="AA25" s="87">
        <f>SUM(AO25:AQ25)</f>
        <v>188466</v>
      </c>
      <c r="AB25" s="77">
        <v>162692</v>
      </c>
      <c r="AC25" s="77">
        <v>172692</v>
      </c>
      <c r="AD25" s="77">
        <v>162692</v>
      </c>
      <c r="AE25" s="77">
        <f t="shared" ref="AE25:AE30" si="45">SUM(AR25:AT25)</f>
        <v>243242</v>
      </c>
      <c r="AF25" s="77">
        <v>162692</v>
      </c>
      <c r="AG25" s="77">
        <v>162692</v>
      </c>
      <c r="AH25" s="77">
        <v>162692</v>
      </c>
      <c r="AI25" s="77">
        <f t="shared" si="17"/>
        <v>279718</v>
      </c>
      <c r="AJ25" s="77">
        <v>162692</v>
      </c>
      <c r="AK25" s="77">
        <v>212692</v>
      </c>
      <c r="AL25" s="77">
        <v>164874</v>
      </c>
      <c r="AM25" s="77">
        <f t="shared" si="11"/>
        <v>220254</v>
      </c>
      <c r="AO25" s="131">
        <v>32596</v>
      </c>
      <c r="AP25" s="131">
        <f>182098-100000</f>
        <v>82098</v>
      </c>
      <c r="AQ25" s="131">
        <f>173772-100000</f>
        <v>73772</v>
      </c>
      <c r="AR25" s="131">
        <f>193778-100000</f>
        <v>93778</v>
      </c>
      <c r="AS25" s="131">
        <f>151086-100000</f>
        <v>51086</v>
      </c>
      <c r="AT25" s="131">
        <v>98378</v>
      </c>
      <c r="AU25" s="131">
        <f>187066-62000-50000</f>
        <v>75066</v>
      </c>
      <c r="AV25" s="131">
        <v>103766</v>
      </c>
      <c r="AW25" s="131">
        <v>100886</v>
      </c>
      <c r="AX25" s="131">
        <v>161589</v>
      </c>
      <c r="AY25" s="131">
        <f>101487-100000</f>
        <v>1487</v>
      </c>
      <c r="AZ25" s="131">
        <f>107178-50000</f>
        <v>57178</v>
      </c>
      <c r="BA25" s="76">
        <f t="shared" si="12"/>
        <v>931680</v>
      </c>
      <c r="BB25" s="49"/>
      <c r="BC25" s="78">
        <f t="shared" si="13"/>
        <v>27163.333333333336</v>
      </c>
      <c r="BD25" s="78">
        <f t="shared" si="13"/>
        <v>68415</v>
      </c>
      <c r="BE25" s="78">
        <f t="shared" si="13"/>
        <v>61476.666666666672</v>
      </c>
      <c r="BF25" s="78">
        <f t="shared" si="13"/>
        <v>78148.333333333343</v>
      </c>
      <c r="BG25" s="78">
        <f t="shared" si="13"/>
        <v>42571.666666666672</v>
      </c>
      <c r="BH25" s="78">
        <f t="shared" si="13"/>
        <v>81981.666666666672</v>
      </c>
      <c r="BI25" s="78">
        <f t="shared" si="13"/>
        <v>62555</v>
      </c>
      <c r="BJ25" s="78">
        <f t="shared" si="13"/>
        <v>86471.666666666672</v>
      </c>
      <c r="BK25" s="78">
        <f t="shared" si="13"/>
        <v>84071.666666666672</v>
      </c>
      <c r="BL25" s="78">
        <f t="shared" si="13"/>
        <v>134657.5</v>
      </c>
      <c r="BM25" s="78">
        <f t="shared" si="13"/>
        <v>1239.1666666666667</v>
      </c>
      <c r="BN25" s="78">
        <f t="shared" si="13"/>
        <v>47648.333333333336</v>
      </c>
      <c r="BO25" s="129">
        <f t="shared" si="8"/>
        <v>776400</v>
      </c>
    </row>
    <row r="26" spans="1:67" ht="51.75" customHeight="1" thickBot="1" x14ac:dyDescent="0.3">
      <c r="A26" s="265" t="s">
        <v>202</v>
      </c>
      <c r="B26" s="264" t="s">
        <v>279</v>
      </c>
      <c r="C26" s="71"/>
      <c r="D26" s="71"/>
      <c r="E26" s="72"/>
      <c r="F26" s="81">
        <f t="shared" si="16"/>
        <v>2203838</v>
      </c>
      <c r="G26" s="72" t="e">
        <f>#REF!</f>
        <v>#REF!</v>
      </c>
      <c r="H26" s="72"/>
      <c r="I26" s="74">
        <v>1</v>
      </c>
      <c r="J26" s="75">
        <v>20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6">
        <f t="shared" si="7"/>
        <v>0</v>
      </c>
      <c r="X26" s="77">
        <v>47232</v>
      </c>
      <c r="Y26" s="77">
        <v>160433</v>
      </c>
      <c r="Z26" s="77">
        <v>60433</v>
      </c>
      <c r="AA26" s="87">
        <f t="shared" si="9"/>
        <v>658260</v>
      </c>
      <c r="AB26" s="77">
        <v>110433</v>
      </c>
      <c r="AC26" s="77">
        <v>130433</v>
      </c>
      <c r="AD26" s="77">
        <v>110433</v>
      </c>
      <c r="AE26" s="77">
        <f t="shared" si="45"/>
        <v>559000</v>
      </c>
      <c r="AF26" s="77">
        <v>110433</v>
      </c>
      <c r="AG26" s="77">
        <v>110433</v>
      </c>
      <c r="AH26" s="77">
        <v>110433</v>
      </c>
      <c r="AI26" s="77">
        <f t="shared" si="17"/>
        <v>393000</v>
      </c>
      <c r="AJ26" s="77">
        <v>110433</v>
      </c>
      <c r="AK26" s="77">
        <v>110433</v>
      </c>
      <c r="AL26" s="77">
        <v>340438</v>
      </c>
      <c r="AM26" s="77">
        <f t="shared" si="11"/>
        <v>593578</v>
      </c>
      <c r="AO26" s="79">
        <f>355000+150000-150000</f>
        <v>355000</v>
      </c>
      <c r="AP26" s="79">
        <f>208600+238660-200000</f>
        <v>247260</v>
      </c>
      <c r="AQ26" s="79">
        <f>256000-200000</f>
        <v>56000</v>
      </c>
      <c r="AR26" s="79">
        <f>260000+150000-200000</f>
        <v>210000</v>
      </c>
      <c r="AS26" s="79">
        <f>487000-300000</f>
        <v>187000</v>
      </c>
      <c r="AT26" s="79">
        <f>262000-100000</f>
        <v>162000</v>
      </c>
      <c r="AU26" s="79">
        <f>265000-100000</f>
        <v>165000</v>
      </c>
      <c r="AV26" s="79">
        <f>264000-200000</f>
        <v>64000</v>
      </c>
      <c r="AW26" s="79">
        <f>264000-100000</f>
        <v>164000</v>
      </c>
      <c r="AX26" s="79">
        <f>260000-100000</f>
        <v>160000</v>
      </c>
      <c r="AY26" s="79">
        <f>260000-100000</f>
        <v>160000</v>
      </c>
      <c r="AZ26" s="79">
        <f>123578+250000-100000</f>
        <v>273578</v>
      </c>
      <c r="BA26" s="76">
        <f t="shared" si="12"/>
        <v>2203838</v>
      </c>
      <c r="BB26" s="49"/>
      <c r="BC26" s="78">
        <f t="shared" si="13"/>
        <v>295833.33333333337</v>
      </c>
      <c r="BD26" s="78">
        <f t="shared" si="13"/>
        <v>206050</v>
      </c>
      <c r="BE26" s="78">
        <f t="shared" si="13"/>
        <v>46666.666666666672</v>
      </c>
      <c r="BF26" s="78">
        <f t="shared" si="13"/>
        <v>175000</v>
      </c>
      <c r="BG26" s="78">
        <f t="shared" si="13"/>
        <v>155833.33333333334</v>
      </c>
      <c r="BH26" s="78">
        <f t="shared" si="13"/>
        <v>135000</v>
      </c>
      <c r="BI26" s="78">
        <f t="shared" si="13"/>
        <v>137500</v>
      </c>
      <c r="BJ26" s="78">
        <f t="shared" si="13"/>
        <v>53333.333333333336</v>
      </c>
      <c r="BK26" s="78">
        <f t="shared" si="13"/>
        <v>136666.66666666669</v>
      </c>
      <c r="BL26" s="78">
        <f t="shared" si="13"/>
        <v>133333.33333333334</v>
      </c>
      <c r="BM26" s="78">
        <f t="shared" si="13"/>
        <v>133333.33333333334</v>
      </c>
      <c r="BN26" s="78">
        <f t="shared" si="13"/>
        <v>227981.66666666669</v>
      </c>
      <c r="BO26" s="129">
        <f t="shared" si="8"/>
        <v>1836531.6666666667</v>
      </c>
    </row>
    <row r="27" spans="1:67" ht="18.75" customHeight="1" thickBot="1" x14ac:dyDescent="0.3">
      <c r="A27" s="80" t="s">
        <v>203</v>
      </c>
      <c r="B27" s="70" t="s">
        <v>255</v>
      </c>
      <c r="C27" s="71"/>
      <c r="D27" s="71"/>
      <c r="E27" s="72"/>
      <c r="F27" s="84">
        <f t="shared" ref="F27:F33" si="46">AA27+AE27+AI27+AM27</f>
        <v>3708622</v>
      </c>
      <c r="G27" s="72" t="e">
        <f>#REF!</f>
        <v>#REF!</v>
      </c>
      <c r="H27" s="72"/>
      <c r="I27" s="74">
        <v>1</v>
      </c>
      <c r="J27" s="75">
        <v>20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6">
        <f t="shared" si="7"/>
        <v>0</v>
      </c>
      <c r="X27" s="77"/>
      <c r="Y27" s="77">
        <v>132910</v>
      </c>
      <c r="Z27" s="77">
        <v>52910</v>
      </c>
      <c r="AA27" s="87">
        <f t="shared" si="9"/>
        <v>442340</v>
      </c>
      <c r="AB27" s="77">
        <v>132910</v>
      </c>
      <c r="AC27" s="77">
        <v>153418</v>
      </c>
      <c r="AD27" s="77">
        <v>132910</v>
      </c>
      <c r="AE27" s="77">
        <f t="shared" si="45"/>
        <v>928158</v>
      </c>
      <c r="AF27" s="77">
        <v>132910</v>
      </c>
      <c r="AG27" s="77">
        <v>132910</v>
      </c>
      <c r="AH27" s="77">
        <v>132910</v>
      </c>
      <c r="AI27" s="77">
        <f t="shared" si="17"/>
        <v>1313818</v>
      </c>
      <c r="AJ27" s="77">
        <v>132910</v>
      </c>
      <c r="AK27" s="77">
        <v>132910</v>
      </c>
      <c r="AL27" s="77">
        <v>192406</v>
      </c>
      <c r="AM27" s="77">
        <f t="shared" si="11"/>
        <v>1024306</v>
      </c>
      <c r="AO27" s="79"/>
      <c r="AP27" s="79">
        <f>100340</f>
        <v>100340</v>
      </c>
      <c r="AQ27" s="79">
        <v>342000</v>
      </c>
      <c r="AR27" s="79">
        <f>801113-172167-500000</f>
        <v>128946</v>
      </c>
      <c r="AS27" s="79">
        <f>499606-200000</f>
        <v>299606</v>
      </c>
      <c r="AT27" s="79">
        <v>499606</v>
      </c>
      <c r="AU27" s="79">
        <f>584606-300000</f>
        <v>284606</v>
      </c>
      <c r="AV27" s="79">
        <f>634606</f>
        <v>634606</v>
      </c>
      <c r="AW27" s="79">
        <f>894606-500000</f>
        <v>394606</v>
      </c>
      <c r="AX27" s="79">
        <f>691606-300</f>
        <v>691306</v>
      </c>
      <c r="AY27" s="79">
        <f>833000-500000</f>
        <v>333000</v>
      </c>
      <c r="AZ27" s="79"/>
      <c r="BA27" s="76">
        <f t="shared" si="12"/>
        <v>3708622</v>
      </c>
      <c r="BB27" s="49"/>
      <c r="BC27" s="78">
        <f t="shared" si="13"/>
        <v>0</v>
      </c>
      <c r="BD27" s="78">
        <f t="shared" si="13"/>
        <v>83616.666666666672</v>
      </c>
      <c r="BE27" s="78">
        <f t="shared" si="13"/>
        <v>285000</v>
      </c>
      <c r="BF27" s="78">
        <f t="shared" si="13"/>
        <v>107455</v>
      </c>
      <c r="BG27" s="78">
        <f>AS27/(1+$J27/100)</f>
        <v>249671.66666666669</v>
      </c>
      <c r="BH27" s="78">
        <f t="shared" si="13"/>
        <v>416338.33333333337</v>
      </c>
      <c r="BI27" s="78">
        <f t="shared" si="13"/>
        <v>237171.66666666669</v>
      </c>
      <c r="BJ27" s="78">
        <f t="shared" si="13"/>
        <v>528838.33333333337</v>
      </c>
      <c r="BK27" s="78">
        <f t="shared" si="13"/>
        <v>328838.33333333337</v>
      </c>
      <c r="BL27" s="78">
        <f t="shared" si="13"/>
        <v>576088.33333333337</v>
      </c>
      <c r="BM27" s="78">
        <f t="shared" si="13"/>
        <v>277500</v>
      </c>
      <c r="BN27" s="78">
        <f t="shared" si="13"/>
        <v>0</v>
      </c>
      <c r="BO27" s="129">
        <f t="shared" si="8"/>
        <v>3090518.333333334</v>
      </c>
    </row>
    <row r="28" spans="1:67" ht="18.75" customHeight="1" thickBot="1" x14ac:dyDescent="0.3">
      <c r="A28" s="88" t="s">
        <v>204</v>
      </c>
      <c r="B28" s="89" t="s">
        <v>256</v>
      </c>
      <c r="C28" s="71"/>
      <c r="D28" s="71"/>
      <c r="E28" s="72"/>
      <c r="F28" s="84">
        <f t="shared" si="46"/>
        <v>3980000</v>
      </c>
      <c r="G28" s="84">
        <f t="shared" ref="G28:Z28" si="47">AB28+AF28+AJ28+AN28</f>
        <v>216000</v>
      </c>
      <c r="H28" s="84">
        <f t="shared" si="47"/>
        <v>596102</v>
      </c>
      <c r="I28" s="84">
        <f t="shared" si="47"/>
        <v>597003</v>
      </c>
      <c r="J28" s="84">
        <f t="shared" si="47"/>
        <v>3219895</v>
      </c>
      <c r="K28" s="84">
        <f t="shared" si="47"/>
        <v>402888</v>
      </c>
      <c r="L28" s="84">
        <f t="shared" si="47"/>
        <v>852890</v>
      </c>
      <c r="M28" s="84">
        <f t="shared" si="47"/>
        <v>853892</v>
      </c>
      <c r="N28" s="84">
        <f t="shared" si="47"/>
        <v>2632218</v>
      </c>
      <c r="O28" s="84">
        <f t="shared" si="47"/>
        <v>659776</v>
      </c>
      <c r="P28" s="84">
        <f t="shared" si="47"/>
        <v>1109778</v>
      </c>
      <c r="Q28" s="84">
        <f t="shared" si="47"/>
        <v>1110780</v>
      </c>
      <c r="R28" s="84">
        <f t="shared" si="47"/>
        <v>1974444</v>
      </c>
      <c r="S28" s="84">
        <f t="shared" si="47"/>
        <v>967776</v>
      </c>
      <c r="T28" s="84">
        <f t="shared" si="47"/>
        <v>5017778</v>
      </c>
      <c r="U28" s="84">
        <f t="shared" si="47"/>
        <v>1037780</v>
      </c>
      <c r="V28" s="84">
        <f t="shared" si="47"/>
        <v>1253417.6666666667</v>
      </c>
      <c r="W28" s="84">
        <f t="shared" si="47"/>
        <v>1284445.1666666667</v>
      </c>
      <c r="X28" s="84">
        <f t="shared" si="47"/>
        <v>4870082.666666667</v>
      </c>
      <c r="Y28" s="84">
        <f t="shared" si="47"/>
        <v>873517</v>
      </c>
      <c r="Z28" s="84">
        <f t="shared" si="47"/>
        <v>1248519.6666666667</v>
      </c>
      <c r="AA28" s="78">
        <f t="shared" si="9"/>
        <v>1038993</v>
      </c>
      <c r="AB28" s="78">
        <v>72000</v>
      </c>
      <c r="AC28" s="78">
        <v>72000</v>
      </c>
      <c r="AD28" s="78">
        <v>72000</v>
      </c>
      <c r="AE28" s="78">
        <f t="shared" si="45"/>
        <v>916565</v>
      </c>
      <c r="AF28" s="78">
        <v>72000</v>
      </c>
      <c r="AG28" s="78">
        <v>72000</v>
      </c>
      <c r="AH28" s="78">
        <v>72000</v>
      </c>
      <c r="AI28" s="78">
        <f t="shared" si="17"/>
        <v>986664</v>
      </c>
      <c r="AJ28" s="77">
        <v>72000</v>
      </c>
      <c r="AK28" s="77">
        <v>72000</v>
      </c>
      <c r="AL28" s="77">
        <v>73000</v>
      </c>
      <c r="AM28" s="77">
        <f t="shared" si="11"/>
        <v>1037778</v>
      </c>
      <c r="AO28" s="79">
        <f>380102</f>
        <v>380102</v>
      </c>
      <c r="AP28" s="79">
        <f>380003</f>
        <v>380003</v>
      </c>
      <c r="AQ28" s="79">
        <f>328888-50000</f>
        <v>278888</v>
      </c>
      <c r="AR28" s="79">
        <f>308888-50000</f>
        <v>258888</v>
      </c>
      <c r="AS28" s="79">
        <f>328788</f>
        <v>328788</v>
      </c>
      <c r="AT28" s="79">
        <f>328889</f>
        <v>328889</v>
      </c>
      <c r="AU28" s="79">
        <f t="shared" ref="AU28:AX28" si="48">328888</f>
        <v>328888</v>
      </c>
      <c r="AV28" s="79">
        <f t="shared" si="48"/>
        <v>328888</v>
      </c>
      <c r="AW28" s="79">
        <f t="shared" si="48"/>
        <v>328888</v>
      </c>
      <c r="AX28" s="79">
        <f t="shared" si="48"/>
        <v>328888</v>
      </c>
      <c r="AY28" s="79">
        <f>328890</f>
        <v>328890</v>
      </c>
      <c r="AZ28" s="79">
        <f>380000</f>
        <v>380000</v>
      </c>
      <c r="BA28" s="76">
        <f t="shared" ref="BA28" si="49">SUM(AO28:AZ28)</f>
        <v>3980000</v>
      </c>
      <c r="BB28" s="49"/>
      <c r="BC28" s="78">
        <f t="shared" ref="BC28:BC30" si="50">AO28/1.2</f>
        <v>316751.66666666669</v>
      </c>
      <c r="BD28" s="78">
        <f t="shared" ref="BD28" si="51">AP28/1.2</f>
        <v>316669.16666666669</v>
      </c>
      <c r="BE28" s="78">
        <f t="shared" ref="BE28" si="52">AQ28/1.2</f>
        <v>232406.66666666669</v>
      </c>
      <c r="BF28" s="78">
        <f t="shared" ref="BF28" si="53">AR28/1.2</f>
        <v>215740</v>
      </c>
      <c r="BG28" s="78">
        <f t="shared" ref="BG28" si="54">AS28/1.2</f>
        <v>273990</v>
      </c>
      <c r="BH28" s="78">
        <f t="shared" ref="BH28" si="55">AT28/1.2</f>
        <v>274074.16666666669</v>
      </c>
      <c r="BI28" s="78">
        <f t="shared" ref="BI28" si="56">AU28/1.2</f>
        <v>274073.33333333337</v>
      </c>
      <c r="BJ28" s="78">
        <f t="shared" ref="BJ28" si="57">AV28/1.2</f>
        <v>274073.33333333337</v>
      </c>
      <c r="BK28" s="78">
        <f t="shared" ref="BK28" si="58">AW28/1.2</f>
        <v>274073.33333333337</v>
      </c>
      <c r="BL28" s="78">
        <f t="shared" ref="BL28" si="59">AX28/1.2</f>
        <v>274073.33333333337</v>
      </c>
      <c r="BM28" s="78">
        <f t="shared" ref="BM28" si="60">AY28/1.2</f>
        <v>274075</v>
      </c>
      <c r="BN28" s="78">
        <f t="shared" ref="BN28" si="61">AZ28/1.2</f>
        <v>316666.66666666669</v>
      </c>
      <c r="BO28" s="129">
        <f t="shared" si="8"/>
        <v>3316666.666666667</v>
      </c>
    </row>
    <row r="29" spans="1:67" ht="15.75" hidden="1" thickBot="1" x14ac:dyDescent="0.3">
      <c r="A29" s="90" t="s">
        <v>217</v>
      </c>
      <c r="B29" s="91" t="s">
        <v>273</v>
      </c>
      <c r="C29" s="92"/>
      <c r="D29" s="92"/>
      <c r="E29" s="93"/>
      <c r="F29" s="84">
        <f t="shared" si="46"/>
        <v>0</v>
      </c>
      <c r="G29" s="72"/>
      <c r="H29" s="72"/>
      <c r="I29" s="74"/>
      <c r="J29" s="75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6"/>
      <c r="X29" s="77"/>
      <c r="Y29" s="77"/>
      <c r="Z29" s="77"/>
      <c r="AA29" s="87">
        <f t="shared" ref="AA29" si="62">SUM(AO29:AQ29)</f>
        <v>0</v>
      </c>
      <c r="AB29" s="77">
        <v>72000</v>
      </c>
      <c r="AC29" s="77">
        <v>72000</v>
      </c>
      <c r="AD29" s="77">
        <v>72000</v>
      </c>
      <c r="AE29" s="77">
        <f t="shared" si="45"/>
        <v>0</v>
      </c>
      <c r="AF29" s="77">
        <v>72000</v>
      </c>
      <c r="AG29" s="77">
        <v>72000</v>
      </c>
      <c r="AH29" s="77">
        <v>72000</v>
      </c>
      <c r="AI29" s="77">
        <f t="shared" ref="AI29" si="63">SUM(AU29:AW29)</f>
        <v>0</v>
      </c>
      <c r="AJ29" s="77">
        <v>72000</v>
      </c>
      <c r="AK29" s="77">
        <v>72000</v>
      </c>
      <c r="AL29" s="77">
        <v>73000</v>
      </c>
      <c r="AM29" s="77">
        <f t="shared" ref="AM29" si="64">SUM(AX29:AZ29)</f>
        <v>0</v>
      </c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6">
        <f t="shared" si="12"/>
        <v>0</v>
      </c>
      <c r="BB29" s="49"/>
      <c r="BC29" s="78">
        <f t="shared" si="50"/>
        <v>0</v>
      </c>
      <c r="BD29" s="78">
        <f t="shared" ref="BD29:BD30" si="65">AP29/1.2</f>
        <v>0</v>
      </c>
      <c r="BE29" s="78">
        <f t="shared" ref="BE29:BE30" si="66">AQ29/1.2</f>
        <v>0</v>
      </c>
      <c r="BF29" s="78">
        <f t="shared" ref="BF29:BF30" si="67">AR29/1.2</f>
        <v>0</v>
      </c>
      <c r="BG29" s="78">
        <f t="shared" ref="BG29:BG30" si="68">AS29/1.2</f>
        <v>0</v>
      </c>
      <c r="BH29" s="78">
        <f t="shared" ref="BH29:BH30" si="69">AT29/1.2</f>
        <v>0</v>
      </c>
      <c r="BI29" s="78">
        <f t="shared" ref="BI29:BI30" si="70">AU29/1.2</f>
        <v>0</v>
      </c>
      <c r="BJ29" s="78">
        <f t="shared" ref="BJ29:BJ30" si="71">AV29/1.2</f>
        <v>0</v>
      </c>
      <c r="BK29" s="78">
        <f t="shared" ref="BK29:BK30" si="72">AW29/1.2</f>
        <v>0</v>
      </c>
      <c r="BL29" s="78">
        <f t="shared" ref="BL29:BL30" si="73">AX29/1.2</f>
        <v>0</v>
      </c>
      <c r="BM29" s="78">
        <f t="shared" ref="BM29:BM30" si="74">AY29/1.2</f>
        <v>0</v>
      </c>
      <c r="BN29" s="78">
        <f t="shared" ref="BN29:BN30" si="75">AZ29/1.2</f>
        <v>0</v>
      </c>
      <c r="BO29" s="76">
        <f t="shared" si="8"/>
        <v>0</v>
      </c>
    </row>
    <row r="30" spans="1:67" hidden="1" x14ac:dyDescent="0.25">
      <c r="A30" s="90" t="s">
        <v>218</v>
      </c>
      <c r="B30" s="94" t="s">
        <v>257</v>
      </c>
      <c r="C30" s="92"/>
      <c r="D30" s="92"/>
      <c r="E30" s="93"/>
      <c r="F30" s="84">
        <f t="shared" si="46"/>
        <v>0</v>
      </c>
      <c r="G30" s="72"/>
      <c r="H30" s="72"/>
      <c r="I30" s="74"/>
      <c r="J30" s="75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6"/>
      <c r="X30" s="77"/>
      <c r="Y30" s="77"/>
      <c r="Z30" s="77"/>
      <c r="AA30" s="87">
        <f t="shared" ref="AA30" si="76">SUM(AO30:AQ30)</f>
        <v>0</v>
      </c>
      <c r="AB30" s="77">
        <v>72000</v>
      </c>
      <c r="AC30" s="77">
        <v>72000</v>
      </c>
      <c r="AD30" s="77">
        <v>72000</v>
      </c>
      <c r="AE30" s="77">
        <f t="shared" si="45"/>
        <v>0</v>
      </c>
      <c r="AF30" s="77">
        <v>72000</v>
      </c>
      <c r="AG30" s="77">
        <v>72000</v>
      </c>
      <c r="AH30" s="77">
        <v>72000</v>
      </c>
      <c r="AI30" s="77">
        <f t="shared" ref="AI30" si="77">SUM(AU30:AW30)</f>
        <v>0</v>
      </c>
      <c r="AJ30" s="77">
        <v>72000</v>
      </c>
      <c r="AK30" s="77">
        <v>72000</v>
      </c>
      <c r="AL30" s="77">
        <v>73000</v>
      </c>
      <c r="AM30" s="77">
        <f t="shared" ref="AM30" si="78">SUM(AX30:AZ30)</f>
        <v>0</v>
      </c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6">
        <f t="shared" si="12"/>
        <v>0</v>
      </c>
      <c r="BB30" s="49"/>
      <c r="BC30" s="78">
        <f t="shared" si="50"/>
        <v>0</v>
      </c>
      <c r="BD30" s="78">
        <f t="shared" si="65"/>
        <v>0</v>
      </c>
      <c r="BE30" s="78">
        <f t="shared" si="66"/>
        <v>0</v>
      </c>
      <c r="BF30" s="78">
        <f t="shared" si="67"/>
        <v>0</v>
      </c>
      <c r="BG30" s="78">
        <f t="shared" si="68"/>
        <v>0</v>
      </c>
      <c r="BH30" s="78">
        <f t="shared" si="69"/>
        <v>0</v>
      </c>
      <c r="BI30" s="78">
        <f t="shared" si="70"/>
        <v>0</v>
      </c>
      <c r="BJ30" s="78">
        <f t="shared" si="71"/>
        <v>0</v>
      </c>
      <c r="BK30" s="78">
        <f t="shared" si="72"/>
        <v>0</v>
      </c>
      <c r="BL30" s="78">
        <f t="shared" si="73"/>
        <v>0</v>
      </c>
      <c r="BM30" s="78">
        <f t="shared" si="74"/>
        <v>0</v>
      </c>
      <c r="BN30" s="78">
        <f t="shared" si="75"/>
        <v>0</v>
      </c>
      <c r="BO30" s="76">
        <f t="shared" si="8"/>
        <v>0</v>
      </c>
    </row>
    <row r="31" spans="1:67" hidden="1" x14ac:dyDescent="0.25">
      <c r="A31" s="90" t="s">
        <v>258</v>
      </c>
      <c r="B31" s="250" t="s">
        <v>259</v>
      </c>
      <c r="C31" s="92"/>
      <c r="D31" s="92"/>
      <c r="E31" s="93"/>
      <c r="F31" s="84">
        <f t="shared" si="46"/>
        <v>0</v>
      </c>
      <c r="G31" s="72"/>
      <c r="H31" s="72"/>
      <c r="I31" s="74"/>
      <c r="J31" s="75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6"/>
      <c r="X31" s="77"/>
      <c r="Y31" s="77"/>
      <c r="Z31" s="77"/>
      <c r="AA31" s="87">
        <f t="shared" ref="AA31" si="79">SUM(AO31:AQ31)</f>
        <v>0</v>
      </c>
      <c r="AB31" s="77">
        <v>72000</v>
      </c>
      <c r="AC31" s="77">
        <v>72000</v>
      </c>
      <c r="AD31" s="77">
        <v>72000</v>
      </c>
      <c r="AE31" s="77">
        <f t="shared" ref="AE31" si="80">SUM(AR31:AT31)</f>
        <v>0</v>
      </c>
      <c r="AF31" s="77">
        <v>72000</v>
      </c>
      <c r="AG31" s="77">
        <v>72000</v>
      </c>
      <c r="AH31" s="77">
        <v>72000</v>
      </c>
      <c r="AI31" s="77">
        <f t="shared" ref="AI31" si="81">SUM(AU31:AW31)</f>
        <v>0</v>
      </c>
      <c r="AJ31" s="77">
        <v>72000</v>
      </c>
      <c r="AK31" s="77">
        <v>72000</v>
      </c>
      <c r="AL31" s="77">
        <v>73000</v>
      </c>
      <c r="AM31" s="77">
        <f t="shared" ref="AM31" si="82">SUM(AX31:AZ31)</f>
        <v>0</v>
      </c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6">
        <f t="shared" ref="BA31" si="83">SUM(AO31:AZ31)</f>
        <v>0</v>
      </c>
      <c r="BB31" s="49"/>
      <c r="BC31" s="78">
        <f t="shared" ref="BC31" si="84">AO31/1.2</f>
        <v>0</v>
      </c>
      <c r="BD31" s="78">
        <f t="shared" ref="BD31" si="85">AP31/1.2</f>
        <v>0</v>
      </c>
      <c r="BE31" s="78">
        <f t="shared" ref="BE31" si="86">AQ31/1.2</f>
        <v>0</v>
      </c>
      <c r="BF31" s="78">
        <f t="shared" ref="BF31" si="87">AR31/1.2</f>
        <v>0</v>
      </c>
      <c r="BG31" s="78">
        <f t="shared" ref="BG31" si="88">AS31/1.2</f>
        <v>0</v>
      </c>
      <c r="BH31" s="78">
        <f t="shared" ref="BH31" si="89">AT31/1.2</f>
        <v>0</v>
      </c>
      <c r="BI31" s="78">
        <f t="shared" ref="BI31" si="90">AU31/1.2</f>
        <v>0</v>
      </c>
      <c r="BJ31" s="78">
        <f t="shared" ref="BJ31" si="91">AV31/1.2</f>
        <v>0</v>
      </c>
      <c r="BK31" s="78">
        <f t="shared" ref="BK31" si="92">AW31/1.2</f>
        <v>0</v>
      </c>
      <c r="BL31" s="78">
        <f t="shared" ref="BL31" si="93">AX31/1.2</f>
        <v>0</v>
      </c>
      <c r="BM31" s="78">
        <f t="shared" ref="BM31" si="94">AY31/1.2</f>
        <v>0</v>
      </c>
      <c r="BN31" s="78">
        <f t="shared" ref="BN31" si="95">AZ31/1.2</f>
        <v>0</v>
      </c>
      <c r="BO31" s="76">
        <f t="shared" ref="BO31" si="96">SUM(BC31:BN31)</f>
        <v>0</v>
      </c>
    </row>
    <row r="32" spans="1:67" ht="30" hidden="1" x14ac:dyDescent="0.25">
      <c r="A32" s="90" t="s">
        <v>260</v>
      </c>
      <c r="B32" s="250" t="s">
        <v>262</v>
      </c>
      <c r="C32" s="92"/>
      <c r="D32" s="92"/>
      <c r="E32" s="93"/>
      <c r="F32" s="84">
        <f t="shared" si="46"/>
        <v>0</v>
      </c>
      <c r="G32" s="72"/>
      <c r="H32" s="72"/>
      <c r="I32" s="74"/>
      <c r="J32" s="75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6"/>
      <c r="X32" s="77"/>
      <c r="Y32" s="77"/>
      <c r="Z32" s="77"/>
      <c r="AA32" s="87">
        <f t="shared" ref="AA32:AA33" si="97">SUM(AO32:AQ32)</f>
        <v>0</v>
      </c>
      <c r="AB32" s="77">
        <v>72000</v>
      </c>
      <c r="AC32" s="77">
        <v>72000</v>
      </c>
      <c r="AD32" s="77">
        <v>72000</v>
      </c>
      <c r="AE32" s="77">
        <f t="shared" ref="AE32:AE33" si="98">SUM(AR32:AT32)</f>
        <v>0</v>
      </c>
      <c r="AF32" s="77">
        <v>72000</v>
      </c>
      <c r="AG32" s="77">
        <v>72000</v>
      </c>
      <c r="AH32" s="77">
        <v>72000</v>
      </c>
      <c r="AI32" s="77">
        <f t="shared" ref="AI32:AI33" si="99">SUM(AU32:AW32)</f>
        <v>0</v>
      </c>
      <c r="AJ32" s="77">
        <v>72000</v>
      </c>
      <c r="AK32" s="77">
        <v>72000</v>
      </c>
      <c r="AL32" s="77">
        <v>73000</v>
      </c>
      <c r="AM32" s="77">
        <f t="shared" ref="AM32:AM33" si="100">SUM(AX32:AZ32)</f>
        <v>0</v>
      </c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6">
        <f t="shared" ref="BA32" si="101">SUM(AO32:AZ32)</f>
        <v>0</v>
      </c>
      <c r="BB32" s="49"/>
      <c r="BC32" s="78">
        <f t="shared" ref="BC32" si="102">AO32/1.2</f>
        <v>0</v>
      </c>
      <c r="BD32" s="78">
        <f t="shared" ref="BD32" si="103">AP32/1.2</f>
        <v>0</v>
      </c>
      <c r="BE32" s="78">
        <f t="shared" ref="BE32" si="104">AQ32/1.2</f>
        <v>0</v>
      </c>
      <c r="BF32" s="78">
        <f t="shared" ref="BF32" si="105">AR32/1.2</f>
        <v>0</v>
      </c>
      <c r="BG32" s="78">
        <f t="shared" ref="BG32" si="106">AS32/1.2</f>
        <v>0</v>
      </c>
      <c r="BH32" s="78">
        <f t="shared" ref="BH32" si="107">AT32/1.2</f>
        <v>0</v>
      </c>
      <c r="BI32" s="78">
        <f t="shared" ref="BI32" si="108">AU32/1.2</f>
        <v>0</v>
      </c>
      <c r="BJ32" s="78">
        <f t="shared" ref="BJ32" si="109">AV32/1.2</f>
        <v>0</v>
      </c>
      <c r="BK32" s="78">
        <f t="shared" ref="BK32" si="110">AW32/1.2</f>
        <v>0</v>
      </c>
      <c r="BL32" s="78">
        <f t="shared" ref="BL32" si="111">AX32/1.2</f>
        <v>0</v>
      </c>
      <c r="BM32" s="78">
        <f t="shared" ref="BM32" si="112">AY32/1.2</f>
        <v>0</v>
      </c>
      <c r="BN32" s="78">
        <f t="shared" ref="BN32" si="113">AZ32/1.2</f>
        <v>0</v>
      </c>
      <c r="BO32" s="76">
        <f t="shared" ref="BO32" si="114">SUM(BC32:BN32)</f>
        <v>0</v>
      </c>
    </row>
    <row r="33" spans="1:67" ht="16.5" hidden="1" thickBot="1" x14ac:dyDescent="0.3">
      <c r="A33" s="95">
        <v>12</v>
      </c>
      <c r="B33" s="296" t="s">
        <v>261</v>
      </c>
      <c r="C33" s="297"/>
      <c r="D33" s="297"/>
      <c r="E33" s="298"/>
      <c r="F33" s="84">
        <f t="shared" si="46"/>
        <v>0</v>
      </c>
      <c r="G33" s="72" t="e">
        <f>#REF!</f>
        <v>#REF!</v>
      </c>
      <c r="H33" s="72"/>
      <c r="I33" s="71"/>
      <c r="J33" s="75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6">
        <f t="shared" si="7"/>
        <v>0</v>
      </c>
      <c r="X33" s="77"/>
      <c r="Y33" s="77"/>
      <c r="Z33" s="77"/>
      <c r="AA33" s="87">
        <f t="shared" si="97"/>
        <v>0</v>
      </c>
      <c r="AB33" s="77"/>
      <c r="AC33" s="77"/>
      <c r="AD33" s="77"/>
      <c r="AE33" s="77">
        <f t="shared" si="98"/>
        <v>0</v>
      </c>
      <c r="AF33" s="77"/>
      <c r="AG33" s="77"/>
      <c r="AH33" s="77"/>
      <c r="AI33" s="77">
        <f t="shared" si="99"/>
        <v>0</v>
      </c>
      <c r="AJ33" s="77"/>
      <c r="AK33" s="77"/>
      <c r="AL33" s="77"/>
      <c r="AM33" s="77">
        <f t="shared" si="100"/>
        <v>0</v>
      </c>
      <c r="AO33" s="77"/>
      <c r="AP33" s="77"/>
      <c r="AQ33" s="78"/>
      <c r="AR33" s="78"/>
      <c r="AS33" s="78"/>
      <c r="AT33" s="78"/>
      <c r="AU33" s="78"/>
      <c r="AV33" s="78"/>
      <c r="AW33" s="78"/>
      <c r="AX33" s="77"/>
      <c r="AY33" s="77"/>
      <c r="AZ33" s="77"/>
      <c r="BA33" s="76">
        <f t="shared" si="12"/>
        <v>0</v>
      </c>
      <c r="BB33" s="49"/>
      <c r="BC33" s="78">
        <f t="shared" si="13"/>
        <v>0</v>
      </c>
      <c r="BD33" s="78">
        <f t="shared" si="13"/>
        <v>0</v>
      </c>
      <c r="BE33" s="78">
        <f>AQ33/1.2</f>
        <v>0</v>
      </c>
      <c r="BF33" s="78">
        <f>AR33/1.2</f>
        <v>0</v>
      </c>
      <c r="BG33" s="78">
        <f t="shared" ref="BG33:BN33" si="115">AS33/1.2</f>
        <v>0</v>
      </c>
      <c r="BH33" s="78">
        <f t="shared" si="115"/>
        <v>0</v>
      </c>
      <c r="BI33" s="78">
        <f t="shared" si="115"/>
        <v>0</v>
      </c>
      <c r="BJ33" s="78">
        <f t="shared" si="115"/>
        <v>0</v>
      </c>
      <c r="BK33" s="78">
        <f t="shared" si="115"/>
        <v>0</v>
      </c>
      <c r="BL33" s="78">
        <f t="shared" si="115"/>
        <v>0</v>
      </c>
      <c r="BM33" s="78">
        <f t="shared" si="115"/>
        <v>0</v>
      </c>
      <c r="BN33" s="78">
        <f t="shared" si="115"/>
        <v>0</v>
      </c>
      <c r="BO33" s="76">
        <f t="shared" si="8"/>
        <v>0</v>
      </c>
    </row>
    <row r="34" spans="1:67" ht="20.25" customHeight="1" thickBot="1" x14ac:dyDescent="0.3">
      <c r="A34" s="77"/>
      <c r="B34" s="95" t="s">
        <v>205</v>
      </c>
      <c r="C34" s="71"/>
      <c r="D34" s="71"/>
      <c r="E34" s="72">
        <f t="shared" si="6"/>
        <v>1284445.1666666667</v>
      </c>
      <c r="F34" s="96">
        <f>SUM(F8:F24,F33)</f>
        <v>147620500</v>
      </c>
      <c r="G34" s="97" t="e">
        <f t="shared" ref="G34:Z34" si="116">SUM(G8:G24,G33)</f>
        <v>#REF!</v>
      </c>
      <c r="H34" s="97">
        <f t="shared" si="116"/>
        <v>596102</v>
      </c>
      <c r="I34" s="97">
        <f t="shared" si="116"/>
        <v>597022</v>
      </c>
      <c r="J34" s="97">
        <f t="shared" si="116"/>
        <v>3220235</v>
      </c>
      <c r="K34" s="97">
        <f t="shared" si="116"/>
        <v>402888</v>
      </c>
      <c r="L34" s="97">
        <f t="shared" si="116"/>
        <v>852890</v>
      </c>
      <c r="M34" s="97">
        <f t="shared" si="116"/>
        <v>853892</v>
      </c>
      <c r="N34" s="97">
        <f t="shared" si="116"/>
        <v>2632218</v>
      </c>
      <c r="O34" s="97">
        <f t="shared" si="116"/>
        <v>659776</v>
      </c>
      <c r="P34" s="97">
        <f t="shared" si="116"/>
        <v>1109778</v>
      </c>
      <c r="Q34" s="97">
        <f t="shared" si="116"/>
        <v>1110780</v>
      </c>
      <c r="R34" s="97">
        <f t="shared" si="116"/>
        <v>1974444</v>
      </c>
      <c r="S34" s="97">
        <f t="shared" si="116"/>
        <v>967776</v>
      </c>
      <c r="T34" s="97">
        <f t="shared" si="116"/>
        <v>5017778</v>
      </c>
      <c r="U34" s="97">
        <f t="shared" si="116"/>
        <v>1037780</v>
      </c>
      <c r="V34" s="97">
        <f t="shared" si="116"/>
        <v>1253417.6666666667</v>
      </c>
      <c r="W34" s="97">
        <f t="shared" si="116"/>
        <v>1284445.1666666667</v>
      </c>
      <c r="X34" s="97">
        <f t="shared" si="116"/>
        <v>11431470.666666668</v>
      </c>
      <c r="Y34" s="97">
        <f t="shared" si="116"/>
        <v>9441173</v>
      </c>
      <c r="Z34" s="97">
        <f t="shared" si="116"/>
        <v>6107266.666666667</v>
      </c>
      <c r="AA34" s="84">
        <f>SUM(AA8:AA24,AA33)</f>
        <v>31481649</v>
      </c>
      <c r="AB34" s="84">
        <f t="shared" ref="AB34:AL34" si="117">SUM(AB8:AB33)</f>
        <v>7934972</v>
      </c>
      <c r="AC34" s="84">
        <f t="shared" si="117"/>
        <v>7985480</v>
      </c>
      <c r="AD34" s="84">
        <f t="shared" si="117"/>
        <v>7834972</v>
      </c>
      <c r="AE34" s="84">
        <f>SUM(AE8:AE24,AE33)</f>
        <v>35069784</v>
      </c>
      <c r="AF34" s="84">
        <f t="shared" si="117"/>
        <v>7834972</v>
      </c>
      <c r="AG34" s="84">
        <f t="shared" si="117"/>
        <v>7834972</v>
      </c>
      <c r="AH34" s="84">
        <f t="shared" si="117"/>
        <v>7784972</v>
      </c>
      <c r="AI34" s="84">
        <f>SUM(AI8:AI24,AI33)</f>
        <v>41297848</v>
      </c>
      <c r="AJ34" s="84">
        <f t="shared" si="117"/>
        <v>7974972</v>
      </c>
      <c r="AK34" s="84">
        <f t="shared" si="117"/>
        <v>7927619</v>
      </c>
      <c r="AL34" s="84">
        <f t="shared" si="117"/>
        <v>8515894</v>
      </c>
      <c r="AM34" s="84">
        <f>SUM(AM8:AM24,AM33)</f>
        <v>39771219</v>
      </c>
      <c r="AO34" s="132">
        <f>SUM(AO7:AO33)</f>
        <v>9790934</v>
      </c>
      <c r="AP34" s="132">
        <f>SUM(AP7:AP33)</f>
        <v>10363247</v>
      </c>
      <c r="AQ34" s="132">
        <f>SUM(AQ7:AQ33)</f>
        <v>11327468</v>
      </c>
      <c r="AR34" s="132">
        <f>SUM(AR7:AR33)</f>
        <v>11468621</v>
      </c>
      <c r="AS34" s="132">
        <f t="shared" ref="AS34:AY34" si="118">SUM(AS7:AS33)</f>
        <v>11249430</v>
      </c>
      <c r="AT34" s="132">
        <f t="shared" si="118"/>
        <v>12351733</v>
      </c>
      <c r="AU34" s="132">
        <f t="shared" si="118"/>
        <v>13009257</v>
      </c>
      <c r="AV34" s="132">
        <f t="shared" si="118"/>
        <v>14447082</v>
      </c>
      <c r="AW34" s="132">
        <f t="shared" si="118"/>
        <v>13841509</v>
      </c>
      <c r="AX34" s="132">
        <f t="shared" si="118"/>
        <v>13456223</v>
      </c>
      <c r="AY34" s="132">
        <f t="shared" si="118"/>
        <v>12643060</v>
      </c>
      <c r="AZ34" s="132">
        <f>SUM(AZ7:AZ33)</f>
        <v>13671936</v>
      </c>
      <c r="BA34" s="133">
        <f>SUM(BA7:BA33)</f>
        <v>147620500</v>
      </c>
      <c r="BB34" s="49"/>
      <c r="BC34" s="134">
        <f>SUM(BC7:BC33)</f>
        <v>8161170.333333333</v>
      </c>
      <c r="BD34" s="134">
        <f t="shared" ref="BD34:BN34" si="119">SUM(BD7:BD33)</f>
        <v>8637068.5</v>
      </c>
      <c r="BE34" s="134">
        <f t="shared" si="119"/>
        <v>9440439</v>
      </c>
      <c r="BF34" s="134">
        <f t="shared" si="119"/>
        <v>9558507.6666666679</v>
      </c>
      <c r="BG34" s="134">
        <f>SUM(BG7:BG33)</f>
        <v>9374966.166666666</v>
      </c>
      <c r="BH34" s="134">
        <f t="shared" si="119"/>
        <v>10293993.166666668</v>
      </c>
      <c r="BI34" s="134">
        <f t="shared" si="119"/>
        <v>10841929.833333332</v>
      </c>
      <c r="BJ34" s="134">
        <f t="shared" si="119"/>
        <v>12040117.333333336</v>
      </c>
      <c r="BK34" s="134">
        <f t="shared" si="119"/>
        <v>11536796.666666666</v>
      </c>
      <c r="BL34" s="134">
        <f t="shared" si="119"/>
        <v>11214401.500000002</v>
      </c>
      <c r="BM34" s="134">
        <f t="shared" si="119"/>
        <v>10536765.666666666</v>
      </c>
      <c r="BN34" s="134">
        <f t="shared" si="119"/>
        <v>11394309.333333336</v>
      </c>
      <c r="BO34" s="135">
        <f>SUM(BO7:BO33)</f>
        <v>123030465.16666669</v>
      </c>
    </row>
    <row r="35" spans="1:67" ht="18.75" x14ac:dyDescent="0.3">
      <c r="A35" s="98" t="s">
        <v>206</v>
      </c>
      <c r="B35" s="99" t="s">
        <v>207</v>
      </c>
      <c r="C35" s="77"/>
      <c r="D35" s="77"/>
      <c r="E35" s="100">
        <f t="shared" si="6"/>
        <v>0</v>
      </c>
      <c r="F35" s="81"/>
      <c r="G35" s="100" t="e">
        <f>#REF!</f>
        <v>#REF!</v>
      </c>
      <c r="H35" s="100"/>
      <c r="I35" s="77"/>
      <c r="J35" s="101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102">
        <f t="shared" si="7"/>
        <v>0</v>
      </c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O35" s="299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1"/>
      <c r="BB35" s="49"/>
      <c r="BC35" s="78">
        <f>AO35/1.2</f>
        <v>0</v>
      </c>
      <c r="BD35" s="78">
        <f t="shared" ref="BD35:BN41" si="120">AP35/1.2</f>
        <v>0</v>
      </c>
      <c r="BE35" s="78">
        <f t="shared" si="120"/>
        <v>0</v>
      </c>
      <c r="BF35" s="78">
        <f t="shared" si="120"/>
        <v>0</v>
      </c>
      <c r="BG35" s="78">
        <f t="shared" si="120"/>
        <v>0</v>
      </c>
      <c r="BH35" s="78">
        <f t="shared" si="120"/>
        <v>0</v>
      </c>
      <c r="BI35" s="78">
        <f t="shared" si="120"/>
        <v>0</v>
      </c>
      <c r="BJ35" s="78">
        <f t="shared" si="120"/>
        <v>0</v>
      </c>
      <c r="BK35" s="78">
        <f t="shared" si="120"/>
        <v>0</v>
      </c>
      <c r="BL35" s="78">
        <f t="shared" si="120"/>
        <v>0</v>
      </c>
      <c r="BM35" s="78">
        <f t="shared" si="120"/>
        <v>0</v>
      </c>
      <c r="BN35" s="78">
        <f t="shared" si="120"/>
        <v>0</v>
      </c>
      <c r="BO35" s="76">
        <f t="shared" si="8"/>
        <v>0</v>
      </c>
    </row>
    <row r="36" spans="1:67" ht="17.25" customHeight="1" x14ac:dyDescent="0.25">
      <c r="A36" s="103" t="s">
        <v>208</v>
      </c>
      <c r="B36" s="104" t="s">
        <v>145</v>
      </c>
      <c r="C36" s="77"/>
      <c r="D36" s="77"/>
      <c r="E36" s="100">
        <f t="shared" si="6"/>
        <v>0</v>
      </c>
      <c r="F36" s="81">
        <f t="shared" ref="F36:F39" si="121">AA36+AE36+AI36+AM36</f>
        <v>404194</v>
      </c>
      <c r="G36" s="100" t="e">
        <f>#REF!</f>
        <v>#REF!</v>
      </c>
      <c r="H36" s="100"/>
      <c r="I36" s="77"/>
      <c r="J36" s="101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102">
        <f t="shared" si="7"/>
        <v>0</v>
      </c>
      <c r="X36" s="77"/>
      <c r="Y36" s="77"/>
      <c r="Z36" s="77"/>
      <c r="AA36" s="87">
        <f t="shared" ref="AA36" si="122">SUM(AO36:AQ36)</f>
        <v>95474</v>
      </c>
      <c r="AB36" s="77"/>
      <c r="AC36" s="77"/>
      <c r="AD36" s="77"/>
      <c r="AE36" s="77">
        <f>SUM(AR36:AT36)</f>
        <v>69338</v>
      </c>
      <c r="AF36" s="77">
        <v>72000</v>
      </c>
      <c r="AG36" s="77">
        <v>72000</v>
      </c>
      <c r="AH36" s="77">
        <v>72000</v>
      </c>
      <c r="AI36" s="77">
        <f t="shared" ref="AI36" si="123">SUM(AU36:AW36)</f>
        <v>135488</v>
      </c>
      <c r="AJ36" s="77">
        <v>72000</v>
      </c>
      <c r="AK36" s="77">
        <v>72000</v>
      </c>
      <c r="AL36" s="77">
        <v>73000</v>
      </c>
      <c r="AM36" s="77">
        <f t="shared" ref="AM36" si="124">SUM(AX36:AZ36)</f>
        <v>103894</v>
      </c>
      <c r="AO36" s="78">
        <v>31878</v>
      </c>
      <c r="AP36" s="78">
        <v>63596</v>
      </c>
      <c r="AQ36" s="78"/>
      <c r="AR36" s="78">
        <v>43330</v>
      </c>
      <c r="AS36" s="78"/>
      <c r="AT36" s="78">
        <v>26008</v>
      </c>
      <c r="AU36" s="78">
        <v>68993</v>
      </c>
      <c r="AV36" s="78">
        <v>20487</v>
      </c>
      <c r="AW36" s="78">
        <v>46008</v>
      </c>
      <c r="AX36" s="78">
        <v>31878</v>
      </c>
      <c r="AY36" s="78">
        <v>46008</v>
      </c>
      <c r="AZ36" s="78">
        <v>26008</v>
      </c>
      <c r="BA36" s="136">
        <f t="shared" si="12"/>
        <v>404194</v>
      </c>
      <c r="BB36" s="49"/>
      <c r="BC36" s="78">
        <f t="shared" ref="BC36:BC38" si="125">AO36/1.2</f>
        <v>26565</v>
      </c>
      <c r="BD36" s="78">
        <f t="shared" si="120"/>
        <v>52996.666666666672</v>
      </c>
      <c r="BE36" s="78">
        <f t="shared" si="120"/>
        <v>0</v>
      </c>
      <c r="BF36" s="78">
        <f t="shared" si="120"/>
        <v>36108.333333333336</v>
      </c>
      <c r="BG36" s="78">
        <f t="shared" si="120"/>
        <v>0</v>
      </c>
      <c r="BH36" s="78">
        <f t="shared" si="120"/>
        <v>21673.333333333336</v>
      </c>
      <c r="BI36" s="78">
        <f t="shared" si="120"/>
        <v>57494.166666666672</v>
      </c>
      <c r="BJ36" s="78">
        <f t="shared" si="120"/>
        <v>17072.5</v>
      </c>
      <c r="BK36" s="78">
        <f t="shared" si="120"/>
        <v>38340</v>
      </c>
      <c r="BL36" s="78">
        <f t="shared" si="120"/>
        <v>26565</v>
      </c>
      <c r="BM36" s="78">
        <f t="shared" si="120"/>
        <v>38340</v>
      </c>
      <c r="BN36" s="78">
        <f t="shared" si="120"/>
        <v>21673.333333333336</v>
      </c>
      <c r="BO36" s="136">
        <f t="shared" si="8"/>
        <v>336828.33333333331</v>
      </c>
    </row>
    <row r="37" spans="1:67" ht="18" customHeight="1" x14ac:dyDescent="0.25">
      <c r="A37" s="103" t="s">
        <v>209</v>
      </c>
      <c r="B37" s="104" t="s">
        <v>144</v>
      </c>
      <c r="C37" s="77"/>
      <c r="D37" s="77"/>
      <c r="E37" s="100">
        <f t="shared" si="6"/>
        <v>0</v>
      </c>
      <c r="F37" s="81">
        <f t="shared" si="121"/>
        <v>534598</v>
      </c>
      <c r="G37" s="100" t="e">
        <f>#REF!</f>
        <v>#REF!</v>
      </c>
      <c r="H37" s="100"/>
      <c r="I37" s="77"/>
      <c r="J37" s="101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102">
        <f t="shared" si="7"/>
        <v>0</v>
      </c>
      <c r="X37" s="77"/>
      <c r="Y37" s="77"/>
      <c r="Z37" s="77"/>
      <c r="AA37" s="87">
        <f t="shared" ref="AA37:AA40" si="126">SUM(AO37:AQ37)</f>
        <v>65920</v>
      </c>
      <c r="AB37" s="77"/>
      <c r="AC37" s="77"/>
      <c r="AD37" s="77"/>
      <c r="AE37" s="77">
        <f t="shared" ref="AE37:AE40" si="127">SUM(AR37:AT37)</f>
        <v>291474</v>
      </c>
      <c r="AF37" s="77">
        <v>72000</v>
      </c>
      <c r="AG37" s="77">
        <v>72000</v>
      </c>
      <c r="AH37" s="77">
        <v>72000</v>
      </c>
      <c r="AI37" s="77">
        <f t="shared" ref="AI37:AI40" si="128">SUM(AU37:AW37)</f>
        <v>83424</v>
      </c>
      <c r="AJ37" s="77">
        <v>72000</v>
      </c>
      <c r="AK37" s="77">
        <v>72000</v>
      </c>
      <c r="AL37" s="77">
        <v>73000</v>
      </c>
      <c r="AM37" s="77">
        <f t="shared" ref="AM37:AM40" si="129">SUM(AX37:AZ37)</f>
        <v>93780</v>
      </c>
      <c r="AO37" s="78">
        <v>11652</v>
      </c>
      <c r="AP37" s="78">
        <v>39277</v>
      </c>
      <c r="AQ37" s="78">
        <v>14991</v>
      </c>
      <c r="AR37" s="78">
        <v>82342</v>
      </c>
      <c r="AS37" s="78">
        <v>72132</v>
      </c>
      <c r="AT37" s="78">
        <v>137000</v>
      </c>
      <c r="AU37" s="78">
        <v>17104</v>
      </c>
      <c r="AV37" s="78">
        <v>35060</v>
      </c>
      <c r="AW37" s="78">
        <v>31260</v>
      </c>
      <c r="AX37" s="78">
        <v>31260</v>
      </c>
      <c r="AY37" s="78">
        <v>31260</v>
      </c>
      <c r="AZ37" s="78">
        <v>31260</v>
      </c>
      <c r="BA37" s="136">
        <f t="shared" si="12"/>
        <v>534598</v>
      </c>
      <c r="BB37" s="49"/>
      <c r="BC37" s="78">
        <f t="shared" si="125"/>
        <v>9710</v>
      </c>
      <c r="BD37" s="78">
        <f t="shared" si="120"/>
        <v>32730.833333333336</v>
      </c>
      <c r="BE37" s="78">
        <f t="shared" si="120"/>
        <v>12492.5</v>
      </c>
      <c r="BF37" s="78">
        <f t="shared" si="120"/>
        <v>68618.333333333343</v>
      </c>
      <c r="BG37" s="78">
        <f t="shared" si="120"/>
        <v>60110</v>
      </c>
      <c r="BH37" s="78">
        <f t="shared" si="120"/>
        <v>114166.66666666667</v>
      </c>
      <c r="BI37" s="78">
        <f t="shared" si="120"/>
        <v>14253.333333333334</v>
      </c>
      <c r="BJ37" s="78">
        <f t="shared" si="120"/>
        <v>29216.666666666668</v>
      </c>
      <c r="BK37" s="78">
        <f t="shared" si="120"/>
        <v>26050</v>
      </c>
      <c r="BL37" s="78">
        <f t="shared" si="120"/>
        <v>26050</v>
      </c>
      <c r="BM37" s="78">
        <f t="shared" si="120"/>
        <v>26050</v>
      </c>
      <c r="BN37" s="78">
        <f t="shared" si="120"/>
        <v>26050</v>
      </c>
      <c r="BO37" s="136">
        <f t="shared" si="8"/>
        <v>445498.33333333337</v>
      </c>
    </row>
    <row r="38" spans="1:67" ht="17.25" customHeight="1" x14ac:dyDescent="0.25">
      <c r="A38" s="103" t="s">
        <v>210</v>
      </c>
      <c r="B38" s="104" t="s">
        <v>143</v>
      </c>
      <c r="C38" s="77"/>
      <c r="D38" s="77"/>
      <c r="E38" s="100">
        <f t="shared" si="6"/>
        <v>0</v>
      </c>
      <c r="F38" s="81">
        <f t="shared" si="121"/>
        <v>283698</v>
      </c>
      <c r="G38" s="100" t="e">
        <f>#REF!</f>
        <v>#REF!</v>
      </c>
      <c r="H38" s="100"/>
      <c r="I38" s="77"/>
      <c r="J38" s="101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02">
        <f t="shared" si="7"/>
        <v>0</v>
      </c>
      <c r="X38" s="77"/>
      <c r="Y38" s="77"/>
      <c r="Z38" s="77"/>
      <c r="AA38" s="87">
        <f t="shared" si="126"/>
        <v>100521</v>
      </c>
      <c r="AB38" s="77"/>
      <c r="AC38" s="77"/>
      <c r="AD38" s="77"/>
      <c r="AE38" s="77">
        <f t="shared" si="127"/>
        <v>87340</v>
      </c>
      <c r="AF38" s="77">
        <v>72000</v>
      </c>
      <c r="AG38" s="77">
        <v>72000</v>
      </c>
      <c r="AH38" s="77">
        <v>72000</v>
      </c>
      <c r="AI38" s="77">
        <f t="shared" si="128"/>
        <v>64837</v>
      </c>
      <c r="AJ38" s="77">
        <v>72000</v>
      </c>
      <c r="AK38" s="77">
        <v>72000</v>
      </c>
      <c r="AL38" s="77">
        <v>73000</v>
      </c>
      <c r="AM38" s="77">
        <f t="shared" si="129"/>
        <v>31000</v>
      </c>
      <c r="AO38" s="78"/>
      <c r="AP38" s="78"/>
      <c r="AQ38" s="78">
        <v>100521</v>
      </c>
      <c r="AR38" s="78">
        <v>26875</v>
      </c>
      <c r="AS38" s="78">
        <v>7665</v>
      </c>
      <c r="AT38" s="78">
        <v>52800</v>
      </c>
      <c r="AU38" s="78">
        <v>30637</v>
      </c>
      <c r="AV38" s="78">
        <v>11600</v>
      </c>
      <c r="AW38" s="78">
        <v>22600</v>
      </c>
      <c r="AX38" s="78">
        <v>11500</v>
      </c>
      <c r="AY38" s="78">
        <v>19500</v>
      </c>
      <c r="AZ38" s="78"/>
      <c r="BA38" s="76">
        <f t="shared" si="12"/>
        <v>283698</v>
      </c>
      <c r="BB38" s="49"/>
      <c r="BC38" s="78">
        <f t="shared" si="125"/>
        <v>0</v>
      </c>
      <c r="BD38" s="78">
        <f t="shared" si="120"/>
        <v>0</v>
      </c>
      <c r="BE38" s="78">
        <f t="shared" si="120"/>
        <v>83767.5</v>
      </c>
      <c r="BF38" s="78">
        <f t="shared" si="120"/>
        <v>22395.833333333336</v>
      </c>
      <c r="BG38" s="78">
        <f t="shared" si="120"/>
        <v>6387.5</v>
      </c>
      <c r="BH38" s="78">
        <f t="shared" si="120"/>
        <v>44000</v>
      </c>
      <c r="BI38" s="78">
        <f t="shared" si="120"/>
        <v>25530.833333333336</v>
      </c>
      <c r="BJ38" s="78">
        <f t="shared" si="120"/>
        <v>9666.6666666666679</v>
      </c>
      <c r="BK38" s="78">
        <f t="shared" si="120"/>
        <v>18833.333333333336</v>
      </c>
      <c r="BL38" s="78">
        <f t="shared" si="120"/>
        <v>9583.3333333333339</v>
      </c>
      <c r="BM38" s="78">
        <f t="shared" si="120"/>
        <v>16250</v>
      </c>
      <c r="BN38" s="78">
        <f t="shared" si="120"/>
        <v>0</v>
      </c>
      <c r="BO38" s="76">
        <f t="shared" si="8"/>
        <v>236415.00000000003</v>
      </c>
    </row>
    <row r="39" spans="1:67" ht="18" customHeight="1" x14ac:dyDescent="0.25">
      <c r="A39" s="103" t="s">
        <v>211</v>
      </c>
      <c r="B39" s="104" t="s">
        <v>142</v>
      </c>
      <c r="C39" s="77"/>
      <c r="D39" s="77"/>
      <c r="E39" s="100">
        <f t="shared" si="6"/>
        <v>0</v>
      </c>
      <c r="F39" s="81">
        <f t="shared" si="121"/>
        <v>363486</v>
      </c>
      <c r="G39" s="100" t="e">
        <f>#REF!</f>
        <v>#REF!</v>
      </c>
      <c r="H39" s="100"/>
      <c r="I39" s="77"/>
      <c r="J39" s="101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102">
        <f t="shared" si="7"/>
        <v>0</v>
      </c>
      <c r="X39" s="77"/>
      <c r="Y39" s="77"/>
      <c r="Z39" s="77"/>
      <c r="AA39" s="87">
        <f t="shared" si="126"/>
        <v>79858</v>
      </c>
      <c r="AB39" s="77"/>
      <c r="AC39" s="77"/>
      <c r="AD39" s="77"/>
      <c r="AE39" s="77">
        <f t="shared" si="127"/>
        <v>102412</v>
      </c>
      <c r="AF39" s="77">
        <v>72000</v>
      </c>
      <c r="AG39" s="77">
        <v>72000</v>
      </c>
      <c r="AH39" s="77">
        <v>72000</v>
      </c>
      <c r="AI39" s="77">
        <f t="shared" si="128"/>
        <v>100173</v>
      </c>
      <c r="AJ39" s="77">
        <v>72000</v>
      </c>
      <c r="AK39" s="77">
        <v>72000</v>
      </c>
      <c r="AL39" s="77">
        <v>73000</v>
      </c>
      <c r="AM39" s="77">
        <f t="shared" si="129"/>
        <v>81043</v>
      </c>
      <c r="AO39" s="78">
        <v>24123</v>
      </c>
      <c r="AP39" s="78">
        <v>24057</v>
      </c>
      <c r="AQ39" s="78">
        <f>31+31647</f>
        <v>31678</v>
      </c>
      <c r="AR39" s="78">
        <v>26879</v>
      </c>
      <c r="AS39" s="78">
        <v>40958</v>
      </c>
      <c r="AT39" s="78">
        <v>34575</v>
      </c>
      <c r="AU39" s="78">
        <v>37935</v>
      </c>
      <c r="AV39" s="78">
        <v>32118</v>
      </c>
      <c r="AW39" s="78">
        <v>30120</v>
      </c>
      <c r="AX39" s="78">
        <v>26800</v>
      </c>
      <c r="AY39" s="78">
        <v>30120</v>
      </c>
      <c r="AZ39" s="78">
        <v>24123</v>
      </c>
      <c r="BA39" s="76">
        <f t="shared" si="12"/>
        <v>363486</v>
      </c>
      <c r="BB39" s="49"/>
      <c r="BC39" s="78">
        <f>AO39/1.2</f>
        <v>20102.5</v>
      </c>
      <c r="BD39" s="78">
        <f t="shared" si="120"/>
        <v>20047.5</v>
      </c>
      <c r="BE39" s="78">
        <f t="shared" si="120"/>
        <v>26398.333333333336</v>
      </c>
      <c r="BF39" s="78">
        <f t="shared" si="120"/>
        <v>22399.166666666668</v>
      </c>
      <c r="BG39" s="78">
        <f t="shared" si="120"/>
        <v>34131.666666666672</v>
      </c>
      <c r="BH39" s="78">
        <f t="shared" si="120"/>
        <v>28812.5</v>
      </c>
      <c r="BI39" s="78">
        <f t="shared" si="120"/>
        <v>31612.5</v>
      </c>
      <c r="BJ39" s="78">
        <f t="shared" si="120"/>
        <v>26765</v>
      </c>
      <c r="BK39" s="78">
        <f t="shared" si="120"/>
        <v>25100</v>
      </c>
      <c r="BL39" s="78">
        <f t="shared" si="120"/>
        <v>22333.333333333336</v>
      </c>
      <c r="BM39" s="78">
        <f t="shared" si="120"/>
        <v>25100</v>
      </c>
      <c r="BN39" s="78">
        <f t="shared" si="120"/>
        <v>20102.5</v>
      </c>
      <c r="BO39" s="76">
        <f t="shared" si="8"/>
        <v>302905</v>
      </c>
    </row>
    <row r="40" spans="1:67" ht="17.25" customHeight="1" x14ac:dyDescent="0.25">
      <c r="A40" s="103" t="s">
        <v>212</v>
      </c>
      <c r="B40" s="104" t="s">
        <v>141</v>
      </c>
      <c r="C40" s="77"/>
      <c r="D40" s="77"/>
      <c r="E40" s="100">
        <f t="shared" si="6"/>
        <v>0</v>
      </c>
      <c r="F40" s="81">
        <f>AA40+AE40+AI40+AM40</f>
        <v>17524</v>
      </c>
      <c r="G40" s="100" t="e">
        <f>#REF!</f>
        <v>#REF!</v>
      </c>
      <c r="H40" s="100"/>
      <c r="I40" s="77"/>
      <c r="J40" s="101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102">
        <f t="shared" si="7"/>
        <v>0</v>
      </c>
      <c r="X40" s="77"/>
      <c r="Y40" s="77"/>
      <c r="Z40" s="77"/>
      <c r="AA40" s="87">
        <f t="shared" si="126"/>
        <v>5846</v>
      </c>
      <c r="AB40" s="77"/>
      <c r="AC40" s="77"/>
      <c r="AD40" s="77"/>
      <c r="AE40" s="77">
        <f t="shared" si="127"/>
        <v>1657</v>
      </c>
      <c r="AF40" s="77">
        <v>72000</v>
      </c>
      <c r="AG40" s="77">
        <v>72000</v>
      </c>
      <c r="AH40" s="77">
        <v>72000</v>
      </c>
      <c r="AI40" s="77">
        <f t="shared" si="128"/>
        <v>5081</v>
      </c>
      <c r="AJ40" s="77">
        <v>72000</v>
      </c>
      <c r="AK40" s="77">
        <v>72000</v>
      </c>
      <c r="AL40" s="77">
        <v>73000</v>
      </c>
      <c r="AM40" s="77">
        <f t="shared" si="129"/>
        <v>4940</v>
      </c>
      <c r="AO40" s="78">
        <v>2413</v>
      </c>
      <c r="AP40" s="78">
        <v>1382</v>
      </c>
      <c r="AQ40" s="78">
        <v>2051</v>
      </c>
      <c r="AR40" s="78">
        <v>823</v>
      </c>
      <c r="AS40" s="78">
        <v>500</v>
      </c>
      <c r="AT40" s="78">
        <v>334</v>
      </c>
      <c r="AU40" s="78">
        <v>301</v>
      </c>
      <c r="AV40" s="78">
        <v>2500</v>
      </c>
      <c r="AW40" s="78">
        <v>2280</v>
      </c>
      <c r="AX40" s="78">
        <v>2120</v>
      </c>
      <c r="AY40" s="78">
        <v>500</v>
      </c>
      <c r="AZ40" s="78">
        <v>2320</v>
      </c>
      <c r="BA40" s="129">
        <f>SUM(AO40:AZ40)</f>
        <v>17524</v>
      </c>
      <c r="BB40" s="49"/>
      <c r="BC40" s="78">
        <f>AO40</f>
        <v>2413</v>
      </c>
      <c r="BD40" s="78">
        <f t="shared" ref="BD40:BN40" si="130">AP40</f>
        <v>1382</v>
      </c>
      <c r="BE40" s="78">
        <f t="shared" si="130"/>
        <v>2051</v>
      </c>
      <c r="BF40" s="78">
        <f t="shared" si="130"/>
        <v>823</v>
      </c>
      <c r="BG40" s="78">
        <f t="shared" si="130"/>
        <v>500</v>
      </c>
      <c r="BH40" s="78">
        <f t="shared" si="130"/>
        <v>334</v>
      </c>
      <c r="BI40" s="78">
        <f t="shared" si="130"/>
        <v>301</v>
      </c>
      <c r="BJ40" s="78">
        <f t="shared" si="130"/>
        <v>2500</v>
      </c>
      <c r="BK40" s="78">
        <f t="shared" si="130"/>
        <v>2280</v>
      </c>
      <c r="BL40" s="78">
        <f t="shared" si="130"/>
        <v>2120</v>
      </c>
      <c r="BM40" s="78">
        <f t="shared" si="130"/>
        <v>500</v>
      </c>
      <c r="BN40" s="78">
        <f t="shared" si="130"/>
        <v>2320</v>
      </c>
      <c r="BO40" s="76">
        <f t="shared" si="8"/>
        <v>17524</v>
      </c>
    </row>
    <row r="41" spans="1:67" ht="17.25" hidden="1" customHeight="1" x14ac:dyDescent="0.25">
      <c r="A41" s="254" t="s">
        <v>264</v>
      </c>
      <c r="B41" s="104" t="s">
        <v>140</v>
      </c>
      <c r="C41" s="77"/>
      <c r="D41" s="77"/>
      <c r="E41" s="100"/>
      <c r="F41" s="81">
        <f>AA41+AE41+AI41+AM41</f>
        <v>0</v>
      </c>
      <c r="G41" s="100" t="e">
        <f>#REF!</f>
        <v>#REF!</v>
      </c>
      <c r="H41" s="100"/>
      <c r="I41" s="77"/>
      <c r="J41" s="101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102">
        <f t="shared" ref="W41" si="131">SUM(K41:V41)</f>
        <v>0</v>
      </c>
      <c r="X41" s="77"/>
      <c r="Y41" s="77"/>
      <c r="Z41" s="77"/>
      <c r="AA41" s="87">
        <f t="shared" ref="AA41" si="132">SUM(AO41:AQ41)</f>
        <v>0</v>
      </c>
      <c r="AB41" s="77"/>
      <c r="AC41" s="77"/>
      <c r="AD41" s="77"/>
      <c r="AE41" s="77">
        <f t="shared" ref="AE41" si="133">SUM(AR41:AT41)</f>
        <v>0</v>
      </c>
      <c r="AF41" s="77">
        <v>72000</v>
      </c>
      <c r="AG41" s="77">
        <v>72000</v>
      </c>
      <c r="AH41" s="77">
        <v>72000</v>
      </c>
      <c r="AI41" s="77">
        <f t="shared" ref="AI41" si="134">SUM(AU41:AW41)</f>
        <v>0</v>
      </c>
      <c r="AJ41" s="77">
        <v>72000</v>
      </c>
      <c r="AK41" s="77">
        <v>72000</v>
      </c>
      <c r="AL41" s="77">
        <v>73000</v>
      </c>
      <c r="AM41" s="77">
        <f t="shared" ref="AM41" si="135">SUM(AX41:AZ41)</f>
        <v>0</v>
      </c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6"/>
      <c r="BB41" s="49"/>
      <c r="BC41" s="78"/>
      <c r="BD41" s="78"/>
      <c r="BE41" s="78"/>
      <c r="BF41" s="78">
        <f t="shared" si="120"/>
        <v>0</v>
      </c>
      <c r="BG41" s="78">
        <f t="shared" si="120"/>
        <v>0</v>
      </c>
      <c r="BH41" s="78">
        <f t="shared" ref="BH41" si="136">AT41/1.2</f>
        <v>0</v>
      </c>
      <c r="BI41" s="78">
        <f t="shared" ref="BI41" si="137">AU41/1.2</f>
        <v>0</v>
      </c>
      <c r="BJ41" s="78">
        <f t="shared" ref="BJ41" si="138">AV41/1.2</f>
        <v>0</v>
      </c>
      <c r="BK41" s="78">
        <f t="shared" ref="BK41" si="139">AW41/1.2</f>
        <v>0</v>
      </c>
      <c r="BL41" s="78">
        <f t="shared" ref="BL41" si="140">AX41/1.2</f>
        <v>0</v>
      </c>
      <c r="BM41" s="78">
        <f t="shared" ref="BM41" si="141">AY41/1.2</f>
        <v>0</v>
      </c>
      <c r="BN41" s="78">
        <f t="shared" ref="BN41" si="142">AZ41/1.2</f>
        <v>0</v>
      </c>
      <c r="BO41" s="76">
        <f t="shared" si="8"/>
        <v>0</v>
      </c>
    </row>
    <row r="42" spans="1:67" ht="19.5" customHeight="1" x14ac:dyDescent="0.25">
      <c r="A42" s="77"/>
      <c r="B42" s="105" t="s">
        <v>213</v>
      </c>
      <c r="C42" s="77"/>
      <c r="D42" s="77"/>
      <c r="E42" s="100">
        <f t="shared" si="6"/>
        <v>0</v>
      </c>
      <c r="F42" s="96">
        <f>AA42+AE42+AI42+AM42</f>
        <v>1603500</v>
      </c>
      <c r="G42" s="100" t="e">
        <f>#REF!</f>
        <v>#REF!</v>
      </c>
      <c r="H42" s="100"/>
      <c r="I42" s="77"/>
      <c r="J42" s="101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102">
        <f t="shared" si="7"/>
        <v>0</v>
      </c>
      <c r="X42" s="77"/>
      <c r="Y42" s="77"/>
      <c r="Z42" s="77"/>
      <c r="AA42" s="256">
        <f>SUM(AA36:AA40)</f>
        <v>347619</v>
      </c>
      <c r="AB42" s="106">
        <f t="shared" ref="AB42:AL42" si="143">SUM(AB36:AB40)</f>
        <v>0</v>
      </c>
      <c r="AC42" s="106">
        <f t="shared" si="143"/>
        <v>0</v>
      </c>
      <c r="AD42" s="106">
        <f t="shared" si="143"/>
        <v>0</v>
      </c>
      <c r="AE42" s="106">
        <f>SUM(AE36:AE41)</f>
        <v>552221</v>
      </c>
      <c r="AF42" s="106">
        <f t="shared" si="143"/>
        <v>360000</v>
      </c>
      <c r="AG42" s="106">
        <f t="shared" si="143"/>
        <v>360000</v>
      </c>
      <c r="AH42" s="106">
        <f t="shared" si="143"/>
        <v>360000</v>
      </c>
      <c r="AI42" s="106">
        <f>SUM(AI36:AI41)</f>
        <v>389003</v>
      </c>
      <c r="AJ42" s="106">
        <f t="shared" si="143"/>
        <v>360000</v>
      </c>
      <c r="AK42" s="106">
        <f t="shared" si="143"/>
        <v>360000</v>
      </c>
      <c r="AL42" s="106">
        <f t="shared" si="143"/>
        <v>365000</v>
      </c>
      <c r="AM42" s="106">
        <f>SUM(AM36:AM41)</f>
        <v>314657</v>
      </c>
      <c r="AO42" s="137">
        <f>SUM(AO36:AO40)</f>
        <v>70066</v>
      </c>
      <c r="AP42" s="137">
        <f>SUM(AP36:AP40)</f>
        <v>128312</v>
      </c>
      <c r="AQ42" s="137">
        <f>SUM(AQ36:AQ40)</f>
        <v>149241</v>
      </c>
      <c r="AR42" s="137">
        <f>SUM(AR36:AR41)</f>
        <v>180249</v>
      </c>
      <c r="AS42" s="137">
        <f t="shared" ref="AS42:AY42" si="144">SUM(AS36:AS41)</f>
        <v>121255</v>
      </c>
      <c r="AT42" s="137">
        <f t="shared" si="144"/>
        <v>250717</v>
      </c>
      <c r="AU42" s="137">
        <f t="shared" si="144"/>
        <v>154970</v>
      </c>
      <c r="AV42" s="137">
        <f t="shared" si="144"/>
        <v>101765</v>
      </c>
      <c r="AW42" s="137">
        <f t="shared" si="144"/>
        <v>132268</v>
      </c>
      <c r="AX42" s="137">
        <f t="shared" si="144"/>
        <v>103558</v>
      </c>
      <c r="AY42" s="137">
        <f t="shared" si="144"/>
        <v>127388</v>
      </c>
      <c r="AZ42" s="137">
        <f>SUM(AZ36:AZ41)</f>
        <v>83711</v>
      </c>
      <c r="BA42" s="127">
        <f t="shared" si="12"/>
        <v>1603500</v>
      </c>
      <c r="BB42" s="49"/>
      <c r="BC42" s="137">
        <f>SUM(BC36:BC40)</f>
        <v>58790.5</v>
      </c>
      <c r="BD42" s="137">
        <f t="shared" ref="BD42:BE42" si="145">SUM(BD36:BD40)</f>
        <v>107157</v>
      </c>
      <c r="BE42" s="137">
        <f t="shared" si="145"/>
        <v>124709.33333333334</v>
      </c>
      <c r="BF42" s="137">
        <f>SUM(BF36:BF41)</f>
        <v>150344.66666666669</v>
      </c>
      <c r="BG42" s="137">
        <f>SUM(BG36:BG41)</f>
        <v>101129.16666666667</v>
      </c>
      <c r="BH42" s="137">
        <f t="shared" ref="BH42:BN42" si="146">SUM(BH36:BH41)</f>
        <v>208986.5</v>
      </c>
      <c r="BI42" s="137">
        <f t="shared" si="146"/>
        <v>129191.83333333334</v>
      </c>
      <c r="BJ42" s="137">
        <f t="shared" si="146"/>
        <v>85220.833333333343</v>
      </c>
      <c r="BK42" s="137">
        <f t="shared" si="146"/>
        <v>110603.33333333334</v>
      </c>
      <c r="BL42" s="137">
        <f t="shared" si="146"/>
        <v>86651.666666666672</v>
      </c>
      <c r="BM42" s="137">
        <f t="shared" si="146"/>
        <v>106240</v>
      </c>
      <c r="BN42" s="137">
        <f t="shared" si="146"/>
        <v>70145.833333333343</v>
      </c>
      <c r="BO42" s="138">
        <f>SUM(BC42:BN42)</f>
        <v>1339170.6666666667</v>
      </c>
    </row>
    <row r="43" spans="1:67" ht="21.75" customHeight="1" x14ac:dyDescent="0.25">
      <c r="A43" s="77"/>
      <c r="B43" s="215" t="s">
        <v>214</v>
      </c>
      <c r="C43" s="77"/>
      <c r="D43" s="77"/>
      <c r="E43" s="100">
        <f t="shared" si="6"/>
        <v>0</v>
      </c>
      <c r="F43" s="216">
        <f>AA43+AE43+AI43+AM43</f>
        <v>149224000</v>
      </c>
      <c r="G43" s="217" t="e">
        <f>#REF!</f>
        <v>#REF!</v>
      </c>
      <c r="H43" s="217"/>
      <c r="I43" s="218"/>
      <c r="J43" s="219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20">
        <f t="shared" si="7"/>
        <v>0</v>
      </c>
      <c r="X43" s="218"/>
      <c r="Y43" s="218"/>
      <c r="Z43" s="218"/>
      <c r="AA43" s="221">
        <f>AA34+AA42</f>
        <v>31829268</v>
      </c>
      <c r="AB43" s="222">
        <f t="shared" ref="AB43:AL43" si="147">AB34+AB42</f>
        <v>7934972</v>
      </c>
      <c r="AC43" s="222">
        <f t="shared" si="147"/>
        <v>7985480</v>
      </c>
      <c r="AD43" s="222">
        <f t="shared" si="147"/>
        <v>7834972</v>
      </c>
      <c r="AE43" s="221">
        <f>AE34+AE42</f>
        <v>35622005</v>
      </c>
      <c r="AF43" s="221">
        <f t="shared" si="147"/>
        <v>8194972</v>
      </c>
      <c r="AG43" s="221">
        <f t="shared" si="147"/>
        <v>8194972</v>
      </c>
      <c r="AH43" s="221">
        <f t="shared" si="147"/>
        <v>8144972</v>
      </c>
      <c r="AI43" s="221">
        <f>AI34+AI42</f>
        <v>41686851</v>
      </c>
      <c r="AJ43" s="221">
        <f t="shared" si="147"/>
        <v>8334972</v>
      </c>
      <c r="AK43" s="221">
        <f t="shared" si="147"/>
        <v>8287619</v>
      </c>
      <c r="AL43" s="221">
        <f t="shared" si="147"/>
        <v>8880894</v>
      </c>
      <c r="AM43" s="221">
        <f>AM34+AM42</f>
        <v>40085876</v>
      </c>
      <c r="AO43" s="139">
        <f>SUM(AO34,AO42)</f>
        <v>9861000</v>
      </c>
      <c r="AP43" s="139">
        <f>SUM(AP34,AP42)</f>
        <v>10491559</v>
      </c>
      <c r="AQ43" s="139">
        <f>AQ34+AQ42</f>
        <v>11476709</v>
      </c>
      <c r="AR43" s="139">
        <f>AR34+AR42</f>
        <v>11648870</v>
      </c>
      <c r="AS43" s="139">
        <f t="shared" ref="AS43:AY43" si="148">AS34+AS42</f>
        <v>11370685</v>
      </c>
      <c r="AT43" s="139">
        <f t="shared" si="148"/>
        <v>12602450</v>
      </c>
      <c r="AU43" s="139">
        <f t="shared" si="148"/>
        <v>13164227</v>
      </c>
      <c r="AV43" s="139">
        <f t="shared" si="148"/>
        <v>14548847</v>
      </c>
      <c r="AW43" s="139">
        <f t="shared" si="148"/>
        <v>13973777</v>
      </c>
      <c r="AX43" s="139">
        <f t="shared" si="148"/>
        <v>13559781</v>
      </c>
      <c r="AY43" s="139">
        <f t="shared" si="148"/>
        <v>12770448</v>
      </c>
      <c r="AZ43" s="139">
        <f>AZ34+AZ42</f>
        <v>13755647</v>
      </c>
      <c r="BA43" s="139">
        <f>BA34+BA42</f>
        <v>149224000</v>
      </c>
      <c r="BB43" s="49"/>
      <c r="BC43" s="140">
        <f>BC34+BC42</f>
        <v>8219960.833333333</v>
      </c>
      <c r="BD43" s="140">
        <f t="shared" ref="BD43:BN43" si="149">BD34+BD42</f>
        <v>8744225.5</v>
      </c>
      <c r="BE43" s="140">
        <f t="shared" si="149"/>
        <v>9565148.333333334</v>
      </c>
      <c r="BF43" s="140">
        <f>BF34+BF42</f>
        <v>9708852.333333334</v>
      </c>
      <c r="BG43" s="140">
        <f t="shared" si="149"/>
        <v>9476095.3333333321</v>
      </c>
      <c r="BH43" s="140">
        <f t="shared" si="149"/>
        <v>10502979.666666668</v>
      </c>
      <c r="BI43" s="140">
        <f t="shared" si="149"/>
        <v>10971121.666666666</v>
      </c>
      <c r="BJ43" s="140">
        <f t="shared" si="149"/>
        <v>12125338.16666667</v>
      </c>
      <c r="BK43" s="140">
        <f t="shared" si="149"/>
        <v>11647400</v>
      </c>
      <c r="BL43" s="140">
        <f t="shared" si="149"/>
        <v>11301053.166666668</v>
      </c>
      <c r="BM43" s="140">
        <f t="shared" si="149"/>
        <v>10643005.666666666</v>
      </c>
      <c r="BN43" s="140">
        <f t="shared" si="149"/>
        <v>11464455.16666667</v>
      </c>
      <c r="BO43" s="141">
        <f>BO34+BO42</f>
        <v>124369635.83333336</v>
      </c>
    </row>
    <row r="44" spans="1:67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O44" s="3"/>
    </row>
    <row r="45" spans="1:67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O45" s="3"/>
    </row>
    <row r="46" spans="1:67" ht="15.75" x14ac:dyDescent="0.25">
      <c r="A46" s="49"/>
      <c r="B46" s="110" t="s">
        <v>296</v>
      </c>
      <c r="C46" s="108"/>
      <c r="D46" s="108"/>
      <c r="E46" s="10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107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</row>
    <row r="47" spans="1:67" ht="15.75" x14ac:dyDescent="0.25">
      <c r="A47" s="49"/>
      <c r="B47" s="108"/>
      <c r="C47" s="108"/>
      <c r="D47" s="108"/>
      <c r="E47" s="10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108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</row>
    <row r="48" spans="1:67" ht="15.75" x14ac:dyDescent="0.25">
      <c r="A48" s="49"/>
      <c r="B48" s="107" t="s">
        <v>297</v>
      </c>
      <c r="C48" s="108"/>
      <c r="D48" s="108"/>
      <c r="E48" s="10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10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O48" s="48"/>
    </row>
    <row r="49" spans="1:41" ht="15.75" x14ac:dyDescent="0.25">
      <c r="A49" s="49"/>
      <c r="B49" s="108"/>
      <c r="C49" s="108"/>
      <c r="D49" s="108"/>
      <c r="E49" s="10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108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O49" s="3"/>
    </row>
    <row r="50" spans="1:41" ht="15.75" x14ac:dyDescent="0.25">
      <c r="A50" s="49"/>
      <c r="B50" s="107" t="s">
        <v>298</v>
      </c>
      <c r="C50" s="107"/>
      <c r="D50" s="107"/>
      <c r="E50" s="107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10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</row>
  </sheetData>
  <autoFilter ref="A6:AM42" xr:uid="{00000000-0009-0000-0000-000001000000}"/>
  <mergeCells count="7">
    <mergeCell ref="BC5:BO5"/>
    <mergeCell ref="B33:E33"/>
    <mergeCell ref="AO35:BA35"/>
    <mergeCell ref="B3:AM3"/>
    <mergeCell ref="K5:W5"/>
    <mergeCell ref="AA5:AM5"/>
    <mergeCell ref="AO5:BA5"/>
  </mergeCells>
  <pageMargins left="0.31496062992125984" right="0" top="0.74803149606299213" bottom="0.74803149606299213" header="0.31496062992125984" footer="0.31496062992125984"/>
  <pageSetup paperSize="9" scale="75" orientation="portrait" verticalDpi="0" r:id="rId1"/>
  <colBreaks count="2" manualBreakCount="2">
    <brk id="39" max="49" man="1"/>
    <brk id="54" max="49" man="1"/>
  </colBreaks>
  <ignoredErrors>
    <ignoredError sqref="G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B323"/>
  <sheetViews>
    <sheetView zoomScaleNormal="100" workbookViewId="0">
      <pane ySplit="6" topLeftCell="A7" activePane="bottomLeft" state="frozen"/>
      <selection pane="bottomLeft" activeCell="A7" sqref="A7:XFD39"/>
    </sheetView>
  </sheetViews>
  <sheetFormatPr defaultColWidth="9.85546875" defaultRowHeight="12.75" x14ac:dyDescent="0.25"/>
  <cols>
    <col min="1" max="1" width="5.140625" style="5" customWidth="1"/>
    <col min="2" max="2" width="5.28515625" style="5" customWidth="1"/>
    <col min="3" max="3" width="39.140625" style="5" customWidth="1"/>
    <col min="4" max="4" width="7" style="5" hidden="1" customWidth="1"/>
    <col min="5" max="5" width="13.85546875" style="5" customWidth="1"/>
    <col min="6" max="6" width="12.28515625" style="5" customWidth="1"/>
    <col min="7" max="7" width="11" style="5" customWidth="1"/>
    <col min="8" max="8" width="12.140625" style="5" customWidth="1"/>
    <col min="9" max="9" width="11.42578125" style="5" bestFit="1" customWidth="1"/>
    <col min="10" max="10" width="11" style="5" customWidth="1"/>
    <col min="11" max="12" width="12" style="5" bestFit="1" customWidth="1"/>
    <col min="13" max="13" width="12.7109375" style="5" customWidth="1"/>
    <col min="14" max="16" width="12" style="5" bestFit="1" customWidth="1"/>
    <col min="17" max="17" width="11.140625" style="5" customWidth="1"/>
    <col min="18" max="18" width="5" style="5" customWidth="1"/>
    <col min="19" max="145" width="9.140625" style="5" customWidth="1"/>
    <col min="146" max="16384" width="9.85546875" style="5"/>
  </cols>
  <sheetData>
    <row r="1" spans="2:17" ht="15.75" x14ac:dyDescent="0.25"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08" t="s">
        <v>293</v>
      </c>
      <c r="N1" s="166"/>
      <c r="O1" s="166"/>
      <c r="P1" s="166"/>
      <c r="Q1" s="166"/>
    </row>
    <row r="2" spans="2:17" ht="18.75" x14ac:dyDescent="0.25">
      <c r="B2" s="165"/>
      <c r="C2" s="166"/>
      <c r="D2" s="166"/>
      <c r="E2" s="320" t="s">
        <v>292</v>
      </c>
      <c r="F2" s="320"/>
      <c r="G2" s="320"/>
      <c r="H2" s="320"/>
      <c r="I2" s="320"/>
      <c r="J2" s="320"/>
      <c r="K2" s="320"/>
      <c r="L2" s="166"/>
      <c r="M2" s="166"/>
      <c r="N2" s="166"/>
      <c r="O2" s="166"/>
      <c r="P2" s="166"/>
      <c r="Q2" s="166"/>
    </row>
    <row r="3" spans="2:17" ht="15.75" x14ac:dyDescent="0.25">
      <c r="B3" s="165"/>
      <c r="C3" s="166"/>
      <c r="D3" s="166"/>
      <c r="E3" s="166"/>
      <c r="F3" s="166"/>
      <c r="G3" s="166" t="s">
        <v>301</v>
      </c>
      <c r="H3" s="166"/>
      <c r="I3" s="166"/>
      <c r="J3" s="166"/>
      <c r="K3" s="166"/>
      <c r="L3" s="166"/>
      <c r="M3" s="166"/>
      <c r="N3" s="166"/>
      <c r="O3" s="166"/>
      <c r="P3" s="166"/>
      <c r="Q3" s="247" t="s">
        <v>168</v>
      </c>
    </row>
    <row r="4" spans="2:17" ht="14.25" x14ac:dyDescent="0.25">
      <c r="B4" s="308" t="s">
        <v>153</v>
      </c>
      <c r="C4" s="309"/>
      <c r="D4" s="312" t="s">
        <v>291</v>
      </c>
      <c r="E4" s="313" t="s">
        <v>152</v>
      </c>
      <c r="F4" s="316" t="s">
        <v>151</v>
      </c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</row>
    <row r="5" spans="2:17" x14ac:dyDescent="0.25">
      <c r="B5" s="310"/>
      <c r="C5" s="311"/>
      <c r="D5" s="314"/>
      <c r="E5" s="315"/>
      <c r="F5" s="244">
        <v>1</v>
      </c>
      <c r="G5" s="244">
        <v>2</v>
      </c>
      <c r="H5" s="244">
        <v>3</v>
      </c>
      <c r="I5" s="244">
        <v>4</v>
      </c>
      <c r="J5" s="244">
        <v>5</v>
      </c>
      <c r="K5" s="244">
        <v>6</v>
      </c>
      <c r="L5" s="244">
        <v>7</v>
      </c>
      <c r="M5" s="244">
        <v>8</v>
      </c>
      <c r="N5" s="244">
        <v>9</v>
      </c>
      <c r="O5" s="244">
        <v>10</v>
      </c>
      <c r="P5" s="244">
        <v>11</v>
      </c>
      <c r="Q5" s="244">
        <v>12</v>
      </c>
    </row>
    <row r="6" spans="2:17" ht="18.75" customHeight="1" x14ac:dyDescent="0.25">
      <c r="B6" s="318"/>
      <c r="C6" s="319"/>
      <c r="D6" s="168"/>
      <c r="E6" s="243" t="s">
        <v>215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</row>
    <row r="7" spans="2:17" ht="20.25" hidden="1" x14ac:dyDescent="0.3">
      <c r="B7" s="169" t="s">
        <v>150</v>
      </c>
      <c r="C7" s="170" t="s">
        <v>149</v>
      </c>
      <c r="D7" s="171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2:17" ht="25.5" hidden="1" x14ac:dyDescent="0.2">
      <c r="B8" s="173" t="s">
        <v>148</v>
      </c>
      <c r="C8" s="174" t="s">
        <v>147</v>
      </c>
      <c r="D8" s="175"/>
      <c r="E8" s="175">
        <f t="shared" ref="E8:Q8" si="0">SUM(E9:E19)</f>
        <v>124369635.83333334</v>
      </c>
      <c r="F8" s="175">
        <f t="shared" si="0"/>
        <v>8219960.833333333</v>
      </c>
      <c r="G8" s="175">
        <f t="shared" si="0"/>
        <v>8744225.5</v>
      </c>
      <c r="H8" s="175">
        <f t="shared" si="0"/>
        <v>9565148.333333334</v>
      </c>
      <c r="I8" s="175">
        <f t="shared" si="0"/>
        <v>9708852.3333333358</v>
      </c>
      <c r="J8" s="175">
        <f t="shared" si="0"/>
        <v>9476095.3333333321</v>
      </c>
      <c r="K8" s="175">
        <f t="shared" si="0"/>
        <v>10502979.666666668</v>
      </c>
      <c r="L8" s="175">
        <f t="shared" si="0"/>
        <v>10971121.666666666</v>
      </c>
      <c r="M8" s="175">
        <f t="shared" si="0"/>
        <v>12125338.166666668</v>
      </c>
      <c r="N8" s="175">
        <f t="shared" si="0"/>
        <v>11647400</v>
      </c>
      <c r="O8" s="175">
        <f t="shared" si="0"/>
        <v>11301053.16666667</v>
      </c>
      <c r="P8" s="175">
        <f t="shared" si="0"/>
        <v>10643005.666666666</v>
      </c>
      <c r="Q8" s="175">
        <f t="shared" si="0"/>
        <v>11464455.16666667</v>
      </c>
    </row>
    <row r="9" spans="2:17" hidden="1" x14ac:dyDescent="0.2">
      <c r="B9" s="173"/>
      <c r="C9" s="253" t="s">
        <v>146</v>
      </c>
      <c r="D9" s="177"/>
      <c r="E9" s="177">
        <f t="shared" ref="E9:E19" si="1">SUM(F9:Q9)</f>
        <v>123030465.16666669</v>
      </c>
      <c r="F9" s="188">
        <f>доходи!BC34</f>
        <v>8161170.333333333</v>
      </c>
      <c r="G9" s="188">
        <f>доходи!BD34</f>
        <v>8637068.5</v>
      </c>
      <c r="H9" s="188">
        <f>доходи!BE34</f>
        <v>9440439</v>
      </c>
      <c r="I9" s="188">
        <f>доходи!BF34</f>
        <v>9558507.6666666679</v>
      </c>
      <c r="J9" s="188">
        <f>доходи!BG34</f>
        <v>9374966.166666666</v>
      </c>
      <c r="K9" s="188">
        <f>доходи!BH34</f>
        <v>10293993.166666668</v>
      </c>
      <c r="L9" s="188">
        <f>доходи!BI34</f>
        <v>10841929.833333332</v>
      </c>
      <c r="M9" s="188">
        <f>доходи!BJ34</f>
        <v>12040117.333333336</v>
      </c>
      <c r="N9" s="188">
        <f>доходи!BK34</f>
        <v>11536796.666666666</v>
      </c>
      <c r="O9" s="188">
        <f>доходи!BL34</f>
        <v>11214401.500000002</v>
      </c>
      <c r="P9" s="188">
        <f>доходи!BM34</f>
        <v>10536765.666666666</v>
      </c>
      <c r="Q9" s="188">
        <f>доходи!BN34</f>
        <v>11394309.333333336</v>
      </c>
    </row>
    <row r="10" spans="2:17" hidden="1" x14ac:dyDescent="0.2">
      <c r="B10" s="173"/>
      <c r="C10" s="253" t="s">
        <v>145</v>
      </c>
      <c r="D10" s="177"/>
      <c r="E10" s="177">
        <f t="shared" si="1"/>
        <v>336828.33333333331</v>
      </c>
      <c r="F10" s="188">
        <f>доходи!BC36</f>
        <v>26565</v>
      </c>
      <c r="G10" s="188">
        <f>доходи!BD36</f>
        <v>52996.666666666672</v>
      </c>
      <c r="H10" s="188">
        <f>доходи!BE36</f>
        <v>0</v>
      </c>
      <c r="I10" s="188">
        <f>доходи!BF36</f>
        <v>36108.333333333336</v>
      </c>
      <c r="J10" s="188">
        <f>доходи!BG36</f>
        <v>0</v>
      </c>
      <c r="K10" s="188">
        <f>доходи!BH36</f>
        <v>21673.333333333336</v>
      </c>
      <c r="L10" s="188">
        <f>доходи!BI36</f>
        <v>57494.166666666672</v>
      </c>
      <c r="M10" s="188">
        <f>доходи!BJ36</f>
        <v>17072.5</v>
      </c>
      <c r="N10" s="188">
        <f>доходи!BK36</f>
        <v>38340</v>
      </c>
      <c r="O10" s="188">
        <f>доходи!BL36</f>
        <v>26565</v>
      </c>
      <c r="P10" s="188">
        <f>доходи!BM36</f>
        <v>38340</v>
      </c>
      <c r="Q10" s="188">
        <f>доходи!BN36</f>
        <v>21673.333333333336</v>
      </c>
    </row>
    <row r="11" spans="2:17" hidden="1" x14ac:dyDescent="0.2">
      <c r="B11" s="173"/>
      <c r="C11" s="253" t="s">
        <v>144</v>
      </c>
      <c r="D11" s="177"/>
      <c r="E11" s="177">
        <f t="shared" si="1"/>
        <v>445498.33333333337</v>
      </c>
      <c r="F11" s="188">
        <f>доходи!BC37</f>
        <v>9710</v>
      </c>
      <c r="G11" s="188">
        <f>доходи!BD37</f>
        <v>32730.833333333336</v>
      </c>
      <c r="H11" s="188">
        <f>доходи!BE37</f>
        <v>12492.5</v>
      </c>
      <c r="I11" s="188">
        <f>доходи!BF37</f>
        <v>68618.333333333343</v>
      </c>
      <c r="J11" s="188">
        <f>доходи!BG37</f>
        <v>60110</v>
      </c>
      <c r="K11" s="188">
        <f>доходи!BH37</f>
        <v>114166.66666666667</v>
      </c>
      <c r="L11" s="188">
        <f>доходи!BI37</f>
        <v>14253.333333333334</v>
      </c>
      <c r="M11" s="188">
        <f>доходи!BJ37</f>
        <v>29216.666666666668</v>
      </c>
      <c r="N11" s="188">
        <f>доходи!BK37</f>
        <v>26050</v>
      </c>
      <c r="O11" s="188">
        <f>доходи!BL37</f>
        <v>26050</v>
      </c>
      <c r="P11" s="188">
        <f>доходи!BM37</f>
        <v>26050</v>
      </c>
      <c r="Q11" s="188">
        <f>доходи!BN37</f>
        <v>26050</v>
      </c>
    </row>
    <row r="12" spans="2:17" hidden="1" x14ac:dyDescent="0.2">
      <c r="B12" s="173"/>
      <c r="C12" s="253" t="s">
        <v>143</v>
      </c>
      <c r="D12" s="177"/>
      <c r="E12" s="177">
        <f t="shared" si="1"/>
        <v>236415.00000000003</v>
      </c>
      <c r="F12" s="188">
        <f>доходи!BC38</f>
        <v>0</v>
      </c>
      <c r="G12" s="188">
        <f>доходи!BD38</f>
        <v>0</v>
      </c>
      <c r="H12" s="188">
        <f>доходи!BE38</f>
        <v>83767.5</v>
      </c>
      <c r="I12" s="188">
        <f>доходи!BF38</f>
        <v>22395.833333333336</v>
      </c>
      <c r="J12" s="188">
        <f>доходи!BG38</f>
        <v>6387.5</v>
      </c>
      <c r="K12" s="188">
        <f>доходи!BH38</f>
        <v>44000</v>
      </c>
      <c r="L12" s="188">
        <f>доходи!BI38</f>
        <v>25530.833333333336</v>
      </c>
      <c r="M12" s="188">
        <f>доходи!BJ38</f>
        <v>9666.6666666666679</v>
      </c>
      <c r="N12" s="188">
        <f>доходи!BK38</f>
        <v>18833.333333333336</v>
      </c>
      <c r="O12" s="188">
        <f>доходи!BL38</f>
        <v>9583.3333333333339</v>
      </c>
      <c r="P12" s="188">
        <f>доходи!BM38</f>
        <v>16250</v>
      </c>
      <c r="Q12" s="188">
        <f>доходи!BN38</f>
        <v>0</v>
      </c>
    </row>
    <row r="13" spans="2:17" hidden="1" x14ac:dyDescent="0.2">
      <c r="B13" s="173"/>
      <c r="C13" s="253" t="s">
        <v>142</v>
      </c>
      <c r="D13" s="177"/>
      <c r="E13" s="177">
        <f t="shared" si="1"/>
        <v>302905</v>
      </c>
      <c r="F13" s="188">
        <f>доходи!BC39</f>
        <v>20102.5</v>
      </c>
      <c r="G13" s="188">
        <f>доходи!BD39</f>
        <v>20047.5</v>
      </c>
      <c r="H13" s="188">
        <f>доходи!BE39</f>
        <v>26398.333333333336</v>
      </c>
      <c r="I13" s="188">
        <f>доходи!BF39</f>
        <v>22399.166666666668</v>
      </c>
      <c r="J13" s="188">
        <f>доходи!BG39</f>
        <v>34131.666666666672</v>
      </c>
      <c r="K13" s="188">
        <f>доходи!BH39</f>
        <v>28812.5</v>
      </c>
      <c r="L13" s="188">
        <f>доходи!BI39</f>
        <v>31612.5</v>
      </c>
      <c r="M13" s="188">
        <f>доходи!BJ39</f>
        <v>26765</v>
      </c>
      <c r="N13" s="188">
        <f>доходи!BK39</f>
        <v>25100</v>
      </c>
      <c r="O13" s="188">
        <f>доходи!BL39</f>
        <v>22333.333333333336</v>
      </c>
      <c r="P13" s="188">
        <f>доходи!BM39</f>
        <v>25100</v>
      </c>
      <c r="Q13" s="188">
        <f>доходи!BN39</f>
        <v>20102.5</v>
      </c>
    </row>
    <row r="14" spans="2:17" hidden="1" x14ac:dyDescent="0.2">
      <c r="B14" s="173"/>
      <c r="C14" s="253" t="s">
        <v>141</v>
      </c>
      <c r="D14" s="177"/>
      <c r="E14" s="177">
        <f t="shared" si="1"/>
        <v>17524</v>
      </c>
      <c r="F14" s="188">
        <f>доходи!BC40</f>
        <v>2413</v>
      </c>
      <c r="G14" s="188">
        <f>доходи!BD40</f>
        <v>1382</v>
      </c>
      <c r="H14" s="188">
        <f>доходи!BE40</f>
        <v>2051</v>
      </c>
      <c r="I14" s="188">
        <f>доходи!BF40</f>
        <v>823</v>
      </c>
      <c r="J14" s="188">
        <f>доходи!BG40</f>
        <v>500</v>
      </c>
      <c r="K14" s="188">
        <f>доходи!BH40</f>
        <v>334</v>
      </c>
      <c r="L14" s="188">
        <f>доходи!BI40</f>
        <v>301</v>
      </c>
      <c r="M14" s="188">
        <f>доходи!BJ40</f>
        <v>2500</v>
      </c>
      <c r="N14" s="188">
        <f>доходи!BK40</f>
        <v>2280</v>
      </c>
      <c r="O14" s="188">
        <f>доходи!BL40</f>
        <v>2120</v>
      </c>
      <c r="P14" s="188">
        <f>доходи!BM40</f>
        <v>500</v>
      </c>
      <c r="Q14" s="188">
        <f>доходи!BN40</f>
        <v>2320</v>
      </c>
    </row>
    <row r="15" spans="2:17" hidden="1" x14ac:dyDescent="0.2">
      <c r="B15" s="173"/>
      <c r="C15" s="253" t="s">
        <v>140</v>
      </c>
      <c r="D15" s="179"/>
      <c r="E15" s="177">
        <f t="shared" si="1"/>
        <v>0</v>
      </c>
      <c r="F15" s="188"/>
      <c r="G15" s="188"/>
      <c r="H15" s="188"/>
      <c r="I15" s="188">
        <f>доходи!BF41</f>
        <v>0</v>
      </c>
      <c r="J15" s="188">
        <f>доходи!BG41</f>
        <v>0</v>
      </c>
      <c r="K15" s="188">
        <f>доходи!BH41</f>
        <v>0</v>
      </c>
      <c r="L15" s="188">
        <f>доходи!BI41</f>
        <v>0</v>
      </c>
      <c r="M15" s="188">
        <f>доходи!BJ41</f>
        <v>0</v>
      </c>
      <c r="N15" s="188">
        <f>доходи!BK41</f>
        <v>0</v>
      </c>
      <c r="O15" s="188">
        <f>доходи!BL41</f>
        <v>0</v>
      </c>
      <c r="P15" s="188"/>
      <c r="Q15" s="188"/>
    </row>
    <row r="16" spans="2:17" s="8" customFormat="1" ht="13.5" hidden="1" x14ac:dyDescent="0.25">
      <c r="B16" s="180"/>
      <c r="C16" s="178"/>
      <c r="D16" s="181"/>
      <c r="E16" s="177">
        <f t="shared" si="1"/>
        <v>0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2:17" s="8" customFormat="1" ht="13.5" hidden="1" x14ac:dyDescent="0.25">
      <c r="B17" s="180"/>
      <c r="C17" s="178"/>
      <c r="D17" s="179"/>
      <c r="E17" s="177">
        <f t="shared" si="1"/>
        <v>0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2:17" s="8" customFormat="1" ht="13.5" hidden="1" x14ac:dyDescent="0.25">
      <c r="B18" s="180"/>
      <c r="C18" s="178"/>
      <c r="D18" s="181"/>
      <c r="E18" s="177">
        <f t="shared" si="1"/>
        <v>0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</row>
    <row r="19" spans="2:17" s="8" customFormat="1" ht="13.5" hidden="1" x14ac:dyDescent="0.25">
      <c r="B19" s="180"/>
      <c r="C19" s="178"/>
      <c r="D19" s="179"/>
      <c r="E19" s="177">
        <f t="shared" si="1"/>
        <v>0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2:17" hidden="1" x14ac:dyDescent="0.2">
      <c r="B20" s="173" t="s">
        <v>139</v>
      </c>
      <c r="C20" s="174" t="s">
        <v>138</v>
      </c>
      <c r="D20" s="175"/>
      <c r="E20" s="175">
        <f t="shared" ref="E20:Q20" si="2">SUM(E21:E26)</f>
        <v>0</v>
      </c>
      <c r="F20" s="175">
        <f t="shared" si="2"/>
        <v>0</v>
      </c>
      <c r="G20" s="175">
        <f t="shared" si="2"/>
        <v>0</v>
      </c>
      <c r="H20" s="175">
        <f t="shared" si="2"/>
        <v>0</v>
      </c>
      <c r="I20" s="175">
        <f t="shared" si="2"/>
        <v>0</v>
      </c>
      <c r="J20" s="175">
        <f t="shared" si="2"/>
        <v>0</v>
      </c>
      <c r="K20" s="175">
        <f t="shared" si="2"/>
        <v>0</v>
      </c>
      <c r="L20" s="175">
        <f t="shared" si="2"/>
        <v>0</v>
      </c>
      <c r="M20" s="175">
        <f t="shared" si="2"/>
        <v>0</v>
      </c>
      <c r="N20" s="175">
        <f t="shared" si="2"/>
        <v>0</v>
      </c>
      <c r="O20" s="175">
        <f t="shared" si="2"/>
        <v>0</v>
      </c>
      <c r="P20" s="175">
        <f t="shared" si="2"/>
        <v>0</v>
      </c>
      <c r="Q20" s="175">
        <f t="shared" si="2"/>
        <v>0</v>
      </c>
    </row>
    <row r="21" spans="2:17" s="8" customFormat="1" ht="13.5" hidden="1" x14ac:dyDescent="0.25">
      <c r="B21" s="180"/>
      <c r="C21" s="178"/>
      <c r="D21" s="177"/>
      <c r="E21" s="177">
        <f t="shared" ref="E21:E26" si="3">SUM(F21:Q21)</f>
        <v>0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</row>
    <row r="22" spans="2:17" s="8" customFormat="1" ht="13.5" hidden="1" x14ac:dyDescent="0.25">
      <c r="B22" s="180"/>
      <c r="C22" s="178"/>
      <c r="D22" s="177"/>
      <c r="E22" s="177">
        <f t="shared" si="3"/>
        <v>0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</row>
    <row r="23" spans="2:17" s="8" customFormat="1" ht="13.5" hidden="1" x14ac:dyDescent="0.25">
      <c r="B23" s="180"/>
      <c r="C23" s="178"/>
      <c r="D23" s="177"/>
      <c r="E23" s="177">
        <f t="shared" si="3"/>
        <v>0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</row>
    <row r="24" spans="2:17" s="8" customFormat="1" ht="13.5" hidden="1" x14ac:dyDescent="0.25">
      <c r="B24" s="180"/>
      <c r="C24" s="178"/>
      <c r="D24" s="177"/>
      <c r="E24" s="177">
        <f t="shared" si="3"/>
        <v>0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</row>
    <row r="25" spans="2:17" s="8" customFormat="1" ht="13.5" hidden="1" x14ac:dyDescent="0.25">
      <c r="B25" s="180"/>
      <c r="C25" s="178"/>
      <c r="D25" s="177"/>
      <c r="E25" s="177">
        <f t="shared" si="3"/>
        <v>0</v>
      </c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  <row r="26" spans="2:17" s="8" customFormat="1" ht="13.5" hidden="1" x14ac:dyDescent="0.25">
      <c r="B26" s="180"/>
      <c r="C26" s="178"/>
      <c r="D26" s="177"/>
      <c r="E26" s="177">
        <f t="shared" si="3"/>
        <v>0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</row>
    <row r="27" spans="2:17" s="6" customFormat="1" hidden="1" x14ac:dyDescent="0.2">
      <c r="B27" s="173" t="s">
        <v>137</v>
      </c>
      <c r="C27" s="182" t="s">
        <v>136</v>
      </c>
      <c r="D27" s="183"/>
      <c r="E27" s="183">
        <f t="shared" ref="E27:Q27" si="4">SUM(E28:E30)</f>
        <v>0</v>
      </c>
      <c r="F27" s="183">
        <f t="shared" si="4"/>
        <v>0</v>
      </c>
      <c r="G27" s="183">
        <f t="shared" si="4"/>
        <v>0</v>
      </c>
      <c r="H27" s="183">
        <f t="shared" si="4"/>
        <v>0</v>
      </c>
      <c r="I27" s="183">
        <f t="shared" si="4"/>
        <v>0</v>
      </c>
      <c r="J27" s="183">
        <f t="shared" si="4"/>
        <v>0</v>
      </c>
      <c r="K27" s="183">
        <f t="shared" si="4"/>
        <v>0</v>
      </c>
      <c r="L27" s="183">
        <f t="shared" si="4"/>
        <v>0</v>
      </c>
      <c r="M27" s="183">
        <f t="shared" si="4"/>
        <v>0</v>
      </c>
      <c r="N27" s="183">
        <f t="shared" si="4"/>
        <v>0</v>
      </c>
      <c r="O27" s="183">
        <f t="shared" si="4"/>
        <v>0</v>
      </c>
      <c r="P27" s="183">
        <f t="shared" si="4"/>
        <v>0</v>
      </c>
      <c r="Q27" s="175">
        <f t="shared" si="4"/>
        <v>0</v>
      </c>
    </row>
    <row r="28" spans="2:17" hidden="1" x14ac:dyDescent="0.25">
      <c r="B28" s="184"/>
      <c r="C28" s="178"/>
      <c r="D28" s="177"/>
      <c r="E28" s="177">
        <f>SUM(F28:Q28)</f>
        <v>0</v>
      </c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</row>
    <row r="29" spans="2:17" hidden="1" x14ac:dyDescent="0.25">
      <c r="B29" s="184"/>
      <c r="C29" s="178"/>
      <c r="D29" s="177"/>
      <c r="E29" s="177">
        <f>SUM(F29:Q29)</f>
        <v>0</v>
      </c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</row>
    <row r="30" spans="2:17" hidden="1" x14ac:dyDescent="0.25">
      <c r="B30" s="184"/>
      <c r="C30" s="178"/>
      <c r="D30" s="177"/>
      <c r="E30" s="177">
        <f>SUM(F30:Q30)</f>
        <v>0</v>
      </c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</row>
    <row r="31" spans="2:17" hidden="1" x14ac:dyDescent="0.2">
      <c r="B31" s="173" t="s">
        <v>135</v>
      </c>
      <c r="C31" s="182" t="s">
        <v>134</v>
      </c>
      <c r="D31" s="175"/>
      <c r="E31" s="175">
        <f t="shared" ref="E31:Q31" si="5">SUM(E32:E38)</f>
        <v>0</v>
      </c>
      <c r="F31" s="175">
        <f t="shared" si="5"/>
        <v>0</v>
      </c>
      <c r="G31" s="175">
        <f t="shared" si="5"/>
        <v>0</v>
      </c>
      <c r="H31" s="175">
        <f t="shared" si="5"/>
        <v>0</v>
      </c>
      <c r="I31" s="175">
        <f t="shared" si="5"/>
        <v>0</v>
      </c>
      <c r="J31" s="175">
        <f t="shared" si="5"/>
        <v>0</v>
      </c>
      <c r="K31" s="175">
        <f t="shared" si="5"/>
        <v>0</v>
      </c>
      <c r="L31" s="175">
        <f t="shared" si="5"/>
        <v>0</v>
      </c>
      <c r="M31" s="175">
        <f t="shared" si="5"/>
        <v>0</v>
      </c>
      <c r="N31" s="175">
        <f t="shared" si="5"/>
        <v>0</v>
      </c>
      <c r="O31" s="175">
        <f t="shared" si="5"/>
        <v>0</v>
      </c>
      <c r="P31" s="175">
        <f t="shared" si="5"/>
        <v>0</v>
      </c>
      <c r="Q31" s="175">
        <f t="shared" si="5"/>
        <v>0</v>
      </c>
    </row>
    <row r="32" spans="2:17" hidden="1" x14ac:dyDescent="0.2">
      <c r="B32" s="173"/>
      <c r="C32" s="176"/>
      <c r="D32" s="177"/>
      <c r="E32" s="177">
        <f t="shared" ref="E32:E38" si="6">SUM(F32:Q32)</f>
        <v>0</v>
      </c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</row>
    <row r="33" spans="2:18" hidden="1" x14ac:dyDescent="0.2">
      <c r="B33" s="173"/>
      <c r="C33" s="176"/>
      <c r="D33" s="177"/>
      <c r="E33" s="177">
        <f t="shared" si="6"/>
        <v>0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</row>
    <row r="34" spans="2:18" hidden="1" x14ac:dyDescent="0.2">
      <c r="B34" s="173"/>
      <c r="C34" s="176"/>
      <c r="D34" s="177"/>
      <c r="E34" s="177">
        <f t="shared" si="6"/>
        <v>0</v>
      </c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</row>
    <row r="35" spans="2:18" hidden="1" x14ac:dyDescent="0.2">
      <c r="B35" s="173"/>
      <c r="C35" s="176"/>
      <c r="D35" s="177"/>
      <c r="E35" s="177">
        <f t="shared" si="6"/>
        <v>0</v>
      </c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</row>
    <row r="36" spans="2:18" hidden="1" x14ac:dyDescent="0.2">
      <c r="B36" s="173"/>
      <c r="C36" s="176"/>
      <c r="D36" s="177"/>
      <c r="E36" s="177">
        <f t="shared" si="6"/>
        <v>0</v>
      </c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</row>
    <row r="37" spans="2:18" hidden="1" x14ac:dyDescent="0.2">
      <c r="B37" s="173"/>
      <c r="C37" s="178"/>
      <c r="D37" s="177"/>
      <c r="E37" s="177">
        <f t="shared" si="6"/>
        <v>0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</row>
    <row r="38" spans="2:18" hidden="1" x14ac:dyDescent="0.2">
      <c r="B38" s="173"/>
      <c r="C38" s="178"/>
      <c r="D38" s="177"/>
      <c r="E38" s="177">
        <f t="shared" si="6"/>
        <v>0</v>
      </c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</row>
    <row r="39" spans="2:18" ht="15.75" hidden="1" x14ac:dyDescent="0.2">
      <c r="B39" s="173" t="s">
        <v>133</v>
      </c>
      <c r="C39" s="185" t="s">
        <v>23</v>
      </c>
      <c r="D39" s="186"/>
      <c r="E39" s="237">
        <f>E31+E27+E20+E8</f>
        <v>124369635.83333334</v>
      </c>
      <c r="F39" s="237">
        <f t="shared" ref="F39:Q39" si="7">F31+F27+F20+F8</f>
        <v>8219960.833333333</v>
      </c>
      <c r="G39" s="237">
        <f t="shared" si="7"/>
        <v>8744225.5</v>
      </c>
      <c r="H39" s="237">
        <f t="shared" si="7"/>
        <v>9565148.333333334</v>
      </c>
      <c r="I39" s="237">
        <f t="shared" si="7"/>
        <v>9708852.3333333358</v>
      </c>
      <c r="J39" s="237">
        <f t="shared" si="7"/>
        <v>9476095.3333333321</v>
      </c>
      <c r="K39" s="237">
        <f t="shared" si="7"/>
        <v>10502979.666666668</v>
      </c>
      <c r="L39" s="237">
        <f t="shared" si="7"/>
        <v>10971121.666666666</v>
      </c>
      <c r="M39" s="237">
        <f t="shared" si="7"/>
        <v>12125338.166666668</v>
      </c>
      <c r="N39" s="237">
        <f t="shared" si="7"/>
        <v>11647400</v>
      </c>
      <c r="O39" s="237">
        <f t="shared" si="7"/>
        <v>11301053.16666667</v>
      </c>
      <c r="P39" s="237">
        <f t="shared" si="7"/>
        <v>10643005.666666666</v>
      </c>
      <c r="Q39" s="237">
        <f t="shared" si="7"/>
        <v>11464455.16666667</v>
      </c>
    </row>
    <row r="40" spans="2:18" ht="20.25" x14ac:dyDescent="0.3">
      <c r="B40" s="169" t="s">
        <v>228</v>
      </c>
      <c r="C40" s="170" t="s">
        <v>132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</row>
    <row r="41" spans="2:18" ht="14.25" x14ac:dyDescent="0.2">
      <c r="B41" s="173" t="s">
        <v>79</v>
      </c>
      <c r="C41" s="232" t="s">
        <v>131</v>
      </c>
      <c r="D41" s="188"/>
      <c r="E41" s="188">
        <f t="shared" ref="E41:E44" si="8">SUM(F41:Q41)</f>
        <v>13550000</v>
      </c>
      <c r="F41" s="188">
        <v>1360000</v>
      </c>
      <c r="G41" s="188">
        <v>1000000</v>
      </c>
      <c r="H41" s="188">
        <v>1360000</v>
      </c>
      <c r="I41" s="188">
        <v>1360000</v>
      </c>
      <c r="J41" s="188">
        <v>340000</v>
      </c>
      <c r="K41" s="188">
        <v>1000000</v>
      </c>
      <c r="L41" s="188">
        <v>1000000</v>
      </c>
      <c r="M41" s="188">
        <v>1000000</v>
      </c>
      <c r="N41" s="188">
        <v>1050000</v>
      </c>
      <c r="O41" s="188">
        <v>1360000</v>
      </c>
      <c r="P41" s="188">
        <v>1360000</v>
      </c>
      <c r="Q41" s="188">
        <v>1360000</v>
      </c>
      <c r="R41" s="5" t="s">
        <v>87</v>
      </c>
    </row>
    <row r="42" spans="2:18" ht="14.25" x14ac:dyDescent="0.2">
      <c r="B42" s="173" t="s">
        <v>130</v>
      </c>
      <c r="C42" s="232" t="s">
        <v>129</v>
      </c>
      <c r="D42" s="188"/>
      <c r="E42" s="188">
        <f>SUM(F42:Q42)+2</f>
        <v>5676626</v>
      </c>
      <c r="F42" s="188">
        <f>263000+12000</f>
        <v>275000</v>
      </c>
      <c r="G42" s="188">
        <v>243442</v>
      </c>
      <c r="H42" s="188">
        <v>410000</v>
      </c>
      <c r="I42" s="188">
        <v>360000</v>
      </c>
      <c r="J42" s="188">
        <v>725500</v>
      </c>
      <c r="K42" s="188">
        <v>428998</v>
      </c>
      <c r="L42" s="188">
        <v>1110000</v>
      </c>
      <c r="M42" s="188">
        <v>560000</v>
      </c>
      <c r="N42" s="188">
        <v>588684</v>
      </c>
      <c r="O42" s="188">
        <v>356000</v>
      </c>
      <c r="P42" s="188">
        <v>356000</v>
      </c>
      <c r="Q42" s="188">
        <v>263000</v>
      </c>
      <c r="R42" s="5" t="s">
        <v>86</v>
      </c>
    </row>
    <row r="43" spans="2:18" ht="14.25" x14ac:dyDescent="0.2">
      <c r="B43" s="173" t="s">
        <v>128</v>
      </c>
      <c r="C43" s="232" t="s">
        <v>270</v>
      </c>
      <c r="D43" s="188"/>
      <c r="E43" s="188">
        <f>SUM(F43:Q43)-1</f>
        <v>21666667</v>
      </c>
      <c r="F43" s="188">
        <v>1666667</v>
      </c>
      <c r="G43" s="188">
        <v>1666667</v>
      </c>
      <c r="H43" s="188">
        <v>1666667</v>
      </c>
      <c r="I43" s="188">
        <v>1833333</v>
      </c>
      <c r="J43" s="188">
        <v>1916667</v>
      </c>
      <c r="K43" s="188">
        <v>1916667</v>
      </c>
      <c r="L43" s="188">
        <v>1916667</v>
      </c>
      <c r="M43" s="188">
        <v>1916667</v>
      </c>
      <c r="N43" s="188">
        <v>1833333</v>
      </c>
      <c r="O43" s="188">
        <v>1833333</v>
      </c>
      <c r="P43" s="188">
        <v>1833333</v>
      </c>
      <c r="Q43" s="188">
        <v>1666667</v>
      </c>
      <c r="R43" s="5" t="s">
        <v>86</v>
      </c>
    </row>
    <row r="44" spans="2:18" ht="14.25" x14ac:dyDescent="0.2">
      <c r="B44" s="173" t="s">
        <v>127</v>
      </c>
      <c r="C44" s="232" t="s">
        <v>272</v>
      </c>
      <c r="D44" s="188"/>
      <c r="E44" s="188">
        <f t="shared" si="8"/>
        <v>81900</v>
      </c>
      <c r="F44" s="188"/>
      <c r="G44" s="188"/>
      <c r="H44" s="188">
        <v>10200</v>
      </c>
      <c r="I44" s="188"/>
      <c r="J44" s="188"/>
      <c r="K44" s="188">
        <v>18300</v>
      </c>
      <c r="L44" s="188">
        <v>21600</v>
      </c>
      <c r="M44" s="188">
        <v>21600</v>
      </c>
      <c r="N44" s="188"/>
      <c r="O44" s="188"/>
      <c r="P44" s="188"/>
      <c r="Q44" s="188">
        <v>10200</v>
      </c>
      <c r="R44" s="5" t="s">
        <v>86</v>
      </c>
    </row>
    <row r="45" spans="2:18" ht="14.25" x14ac:dyDescent="0.2">
      <c r="B45" s="173" t="s">
        <v>126</v>
      </c>
      <c r="C45" s="232" t="s">
        <v>125</v>
      </c>
      <c r="D45" s="188"/>
      <c r="E45" s="188">
        <f>SUM(F45:Q45)-1</f>
        <v>12281872</v>
      </c>
      <c r="F45" s="188">
        <v>341749</v>
      </c>
      <c r="G45" s="188">
        <f>894182-404666</f>
        <v>489516</v>
      </c>
      <c r="H45" s="188">
        <f>870108-399500</f>
        <v>470608</v>
      </c>
      <c r="I45" s="188">
        <f>920615-71334</f>
        <v>849281</v>
      </c>
      <c r="J45" s="188">
        <f>772712-324667</f>
        <v>448045</v>
      </c>
      <c r="K45" s="188">
        <f>1846591-404666</f>
        <v>1441925</v>
      </c>
      <c r="L45" s="188">
        <f>688951-404666</f>
        <v>284285</v>
      </c>
      <c r="M45" s="188">
        <f>842289+12000</f>
        <v>854289</v>
      </c>
      <c r="N45" s="188">
        <f>1962387-238000</f>
        <v>1724387</v>
      </c>
      <c r="O45" s="188">
        <f>2346077+12000</f>
        <v>2358077</v>
      </c>
      <c r="P45" s="188">
        <f>668153+12000</f>
        <v>680153</v>
      </c>
      <c r="Q45" s="188">
        <f>2327560+11998</f>
        <v>2339558</v>
      </c>
      <c r="R45" s="5" t="s">
        <v>89</v>
      </c>
    </row>
    <row r="46" spans="2:18" ht="14.25" x14ac:dyDescent="0.2">
      <c r="B46" s="173" t="s">
        <v>124</v>
      </c>
      <c r="C46" s="232" t="s">
        <v>271</v>
      </c>
      <c r="D46" s="188"/>
      <c r="E46" s="188">
        <f>SUM(F46:Q46)</f>
        <v>12098200</v>
      </c>
      <c r="F46" s="188">
        <v>308200</v>
      </c>
      <c r="G46" s="188">
        <v>290000</v>
      </c>
      <c r="H46" s="188">
        <v>1190000</v>
      </c>
      <c r="I46" s="188">
        <f>1190000-500000</f>
        <v>690000</v>
      </c>
      <c r="J46" s="188">
        <v>790000</v>
      </c>
      <c r="K46" s="188">
        <v>1190000</v>
      </c>
      <c r="L46" s="188">
        <v>1190000</v>
      </c>
      <c r="M46" s="188">
        <v>1190000</v>
      </c>
      <c r="N46" s="188">
        <v>1190000</v>
      </c>
      <c r="O46" s="188">
        <v>1190000</v>
      </c>
      <c r="P46" s="188">
        <f>1190000+500000</f>
        <v>1690000</v>
      </c>
      <c r="Q46" s="188">
        <v>1190000</v>
      </c>
      <c r="R46" s="5" t="s">
        <v>89</v>
      </c>
    </row>
    <row r="47" spans="2:18" ht="14.25" x14ac:dyDescent="0.2">
      <c r="B47" s="173" t="s">
        <v>123</v>
      </c>
      <c r="C47" s="232" t="s">
        <v>225</v>
      </c>
      <c r="D47" s="188"/>
      <c r="E47" s="188">
        <f>SUM(F47:Q47)</f>
        <v>852800</v>
      </c>
      <c r="F47" s="188">
        <v>50400</v>
      </c>
      <c r="G47" s="188">
        <v>100400</v>
      </c>
      <c r="H47" s="188">
        <v>300000</v>
      </c>
      <c r="I47" s="188"/>
      <c r="J47" s="188"/>
      <c r="K47" s="188"/>
      <c r="L47" s="188"/>
      <c r="M47" s="188">
        <v>50400</v>
      </c>
      <c r="N47" s="188">
        <v>50400</v>
      </c>
      <c r="O47" s="188">
        <v>100400</v>
      </c>
      <c r="P47" s="188">
        <v>100400</v>
      </c>
      <c r="Q47" s="188">
        <v>100400</v>
      </c>
      <c r="R47" s="5" t="s">
        <v>89</v>
      </c>
    </row>
    <row r="48" spans="2:18" ht="14.25" x14ac:dyDescent="0.2">
      <c r="B48" s="173" t="s">
        <v>122</v>
      </c>
      <c r="C48" s="232" t="s">
        <v>119</v>
      </c>
      <c r="D48" s="188"/>
      <c r="E48" s="188">
        <f>SUM(F48:Q48)</f>
        <v>852000</v>
      </c>
      <c r="F48" s="188">
        <v>71000</v>
      </c>
      <c r="G48" s="188">
        <v>71000</v>
      </c>
      <c r="H48" s="188">
        <v>71000</v>
      </c>
      <c r="I48" s="188">
        <v>71000</v>
      </c>
      <c r="J48" s="188">
        <v>71000</v>
      </c>
      <c r="K48" s="188">
        <v>71000</v>
      </c>
      <c r="L48" s="188">
        <v>71000</v>
      </c>
      <c r="M48" s="188">
        <v>71000</v>
      </c>
      <c r="N48" s="188">
        <v>71000</v>
      </c>
      <c r="O48" s="188">
        <v>71000</v>
      </c>
      <c r="P48" s="188">
        <v>71000</v>
      </c>
      <c r="Q48" s="188">
        <v>71000</v>
      </c>
      <c r="R48" s="5" t="s">
        <v>82</v>
      </c>
    </row>
    <row r="49" spans="1:18" ht="14.25" x14ac:dyDescent="0.2">
      <c r="B49" s="173" t="s">
        <v>121</v>
      </c>
      <c r="C49" s="233" t="s">
        <v>106</v>
      </c>
      <c r="D49" s="177"/>
      <c r="E49" s="177">
        <f>SUM(F49:Q49)</f>
        <v>27847349</v>
      </c>
      <c r="F49" s="189">
        <v>2127600</v>
      </c>
      <c r="G49" s="189">
        <v>2973600</v>
      </c>
      <c r="H49" s="189">
        <v>2127600</v>
      </c>
      <c r="I49" s="189">
        <v>2127600</v>
      </c>
      <c r="J49" s="189">
        <v>2863000</v>
      </c>
      <c r="K49" s="189">
        <v>2127600</v>
      </c>
      <c r="L49" s="189">
        <v>2127600</v>
      </c>
      <c r="M49" s="189">
        <v>2863000</v>
      </c>
      <c r="N49" s="189">
        <v>2127600</v>
      </c>
      <c r="O49" s="189">
        <v>2127600</v>
      </c>
      <c r="P49" s="189">
        <v>2127600</v>
      </c>
      <c r="Q49" s="189">
        <v>2126949</v>
      </c>
      <c r="R49" s="5" t="s">
        <v>84</v>
      </c>
    </row>
    <row r="50" spans="1:18" ht="14.25" x14ac:dyDescent="0.2">
      <c r="B50" s="173" t="s">
        <v>121</v>
      </c>
      <c r="C50" s="233" t="s">
        <v>105</v>
      </c>
      <c r="D50" s="177"/>
      <c r="E50" s="177">
        <f>SUM(F50:Q50)</f>
        <v>5984753</v>
      </c>
      <c r="F50" s="189">
        <v>472400</v>
      </c>
      <c r="G50" s="189">
        <v>472400</v>
      </c>
      <c r="H50" s="189">
        <v>472400</v>
      </c>
      <c r="I50" s="189">
        <v>472400</v>
      </c>
      <c r="J50" s="189">
        <v>630700</v>
      </c>
      <c r="K50" s="189">
        <v>472400</v>
      </c>
      <c r="L50" s="189">
        <v>472400</v>
      </c>
      <c r="M50" s="189">
        <v>630700</v>
      </c>
      <c r="N50" s="189">
        <v>472400</v>
      </c>
      <c r="O50" s="189">
        <v>472400</v>
      </c>
      <c r="P50" s="189">
        <v>472400</v>
      </c>
      <c r="Q50" s="189">
        <f>472400-647</f>
        <v>471753</v>
      </c>
      <c r="R50" s="5" t="s">
        <v>83</v>
      </c>
    </row>
    <row r="51" spans="1:18" ht="33.75" customHeight="1" x14ac:dyDescent="0.2">
      <c r="B51" s="173"/>
      <c r="C51" s="234" t="s">
        <v>120</v>
      </c>
      <c r="D51" s="175"/>
      <c r="E51" s="235">
        <f>SUM(E41:E50)</f>
        <v>100892167</v>
      </c>
      <c r="F51" s="236">
        <f>SUM(F41:F50)</f>
        <v>6673016</v>
      </c>
      <c r="G51" s="236">
        <f>SUM(G41:G50)</f>
        <v>7307025</v>
      </c>
      <c r="H51" s="236">
        <f>SUM(H41:H50)</f>
        <v>8078475</v>
      </c>
      <c r="I51" s="236">
        <f>SUM(I41:I50)</f>
        <v>7763614</v>
      </c>
      <c r="J51" s="236">
        <f t="shared" ref="J51:Q51" si="9">SUM(J41:J50)</f>
        <v>7784912</v>
      </c>
      <c r="K51" s="236">
        <f t="shared" si="9"/>
        <v>8666890</v>
      </c>
      <c r="L51" s="236">
        <f t="shared" si="9"/>
        <v>8193552</v>
      </c>
      <c r="M51" s="236">
        <f t="shared" si="9"/>
        <v>9157656</v>
      </c>
      <c r="N51" s="236">
        <f t="shared" si="9"/>
        <v>9107804</v>
      </c>
      <c r="O51" s="236">
        <f t="shared" si="9"/>
        <v>9868810</v>
      </c>
      <c r="P51" s="236">
        <f t="shared" si="9"/>
        <v>8690886</v>
      </c>
      <c r="Q51" s="236">
        <f t="shared" si="9"/>
        <v>9599527</v>
      </c>
    </row>
    <row r="52" spans="1:18" x14ac:dyDescent="0.2">
      <c r="B52" s="191"/>
      <c r="C52" s="192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1:18" ht="18.75" x14ac:dyDescent="0.2">
      <c r="B53" s="173"/>
      <c r="C53" s="238" t="s">
        <v>30</v>
      </c>
      <c r="D53" s="175"/>
      <c r="E53" s="190">
        <f>SUM(E54:E61)+E182</f>
        <v>6175786</v>
      </c>
      <c r="F53" s="175">
        <f>SUM(F54:F61)+F182</f>
        <v>490850</v>
      </c>
      <c r="G53" s="175">
        <f t="shared" ref="G53:P53" si="10">SUM(G54:G61)+G182</f>
        <v>494650</v>
      </c>
      <c r="H53" s="175">
        <f t="shared" si="10"/>
        <v>490850</v>
      </c>
      <c r="I53" s="175">
        <f t="shared" si="10"/>
        <v>630943</v>
      </c>
      <c r="J53" s="175">
        <f t="shared" si="10"/>
        <v>490850</v>
      </c>
      <c r="K53" s="175">
        <f t="shared" si="10"/>
        <v>490850</v>
      </c>
      <c r="L53" s="175">
        <f t="shared" si="10"/>
        <v>490850</v>
      </c>
      <c r="M53" s="175">
        <f t="shared" si="10"/>
        <v>630943</v>
      </c>
      <c r="N53" s="175">
        <f t="shared" si="10"/>
        <v>490850</v>
      </c>
      <c r="O53" s="175">
        <f t="shared" si="10"/>
        <v>490850</v>
      </c>
      <c r="P53" s="175">
        <f t="shared" si="10"/>
        <v>491850</v>
      </c>
      <c r="Q53" s="175">
        <f>SUM(Q54:Q61)+Q182</f>
        <v>491450</v>
      </c>
    </row>
    <row r="54" spans="1:18" ht="14.25" x14ac:dyDescent="0.2">
      <c r="A54" s="5">
        <v>1</v>
      </c>
      <c r="B54" s="173" t="s">
        <v>116</v>
      </c>
      <c r="C54" s="233" t="s">
        <v>106</v>
      </c>
      <c r="D54" s="177"/>
      <c r="E54" s="177">
        <f>SUM(F54:Q54)</f>
        <v>4789660</v>
      </c>
      <c r="F54" s="189">
        <v>380000</v>
      </c>
      <c r="G54" s="189">
        <v>380000</v>
      </c>
      <c r="H54" s="189">
        <v>380000</v>
      </c>
      <c r="I54" s="189">
        <v>494830</v>
      </c>
      <c r="J54" s="189">
        <v>380000</v>
      </c>
      <c r="K54" s="189">
        <v>380000</v>
      </c>
      <c r="L54" s="189">
        <v>380000</v>
      </c>
      <c r="M54" s="189">
        <v>494830</v>
      </c>
      <c r="N54" s="189">
        <v>380000</v>
      </c>
      <c r="O54" s="189">
        <v>380000</v>
      </c>
      <c r="P54" s="189">
        <v>380000</v>
      </c>
      <c r="Q54" s="189">
        <v>380000</v>
      </c>
      <c r="R54" s="5" t="s">
        <v>84</v>
      </c>
    </row>
    <row r="55" spans="1:18" ht="14.25" x14ac:dyDescent="0.2">
      <c r="A55" s="5">
        <f t="shared" ref="A55:A59" si="11">A54+1</f>
        <v>2</v>
      </c>
      <c r="B55" s="173" t="s">
        <v>116</v>
      </c>
      <c r="C55" s="233" t="s">
        <v>105</v>
      </c>
      <c r="D55" s="177"/>
      <c r="E55" s="177">
        <f>SUM(F55:Q55)</f>
        <v>1053726</v>
      </c>
      <c r="F55" s="189">
        <v>83600</v>
      </c>
      <c r="G55" s="189">
        <v>83600</v>
      </c>
      <c r="H55" s="189">
        <v>83600</v>
      </c>
      <c r="I55" s="189">
        <v>108863</v>
      </c>
      <c r="J55" s="189">
        <v>83600</v>
      </c>
      <c r="K55" s="189">
        <v>83600</v>
      </c>
      <c r="L55" s="189">
        <v>83600</v>
      </c>
      <c r="M55" s="189">
        <v>108863</v>
      </c>
      <c r="N55" s="189">
        <v>83600</v>
      </c>
      <c r="O55" s="189">
        <v>83600</v>
      </c>
      <c r="P55" s="189">
        <v>83600</v>
      </c>
      <c r="Q55" s="189">
        <v>83600</v>
      </c>
      <c r="R55" s="5" t="s">
        <v>83</v>
      </c>
    </row>
    <row r="56" spans="1:18" ht="14.25" x14ac:dyDescent="0.2">
      <c r="A56" s="5">
        <f t="shared" si="11"/>
        <v>3</v>
      </c>
      <c r="B56" s="173" t="s">
        <v>116</v>
      </c>
      <c r="C56" s="232" t="s">
        <v>119</v>
      </c>
      <c r="D56" s="188"/>
      <c r="E56" s="188">
        <f>SUM(F56:Q56)</f>
        <v>177000</v>
      </c>
      <c r="F56" s="188">
        <v>14750</v>
      </c>
      <c r="G56" s="188">
        <v>14750</v>
      </c>
      <c r="H56" s="188">
        <v>14750</v>
      </c>
      <c r="I56" s="188">
        <v>14750</v>
      </c>
      <c r="J56" s="188">
        <v>14750</v>
      </c>
      <c r="K56" s="188">
        <v>14750</v>
      </c>
      <c r="L56" s="188">
        <v>14750</v>
      </c>
      <c r="M56" s="188">
        <v>14750</v>
      </c>
      <c r="N56" s="188">
        <v>14750</v>
      </c>
      <c r="O56" s="188">
        <v>14750</v>
      </c>
      <c r="P56" s="188">
        <v>14750</v>
      </c>
      <c r="Q56" s="188">
        <v>14750</v>
      </c>
      <c r="R56" s="5" t="s">
        <v>82</v>
      </c>
    </row>
    <row r="57" spans="1:18" ht="41.25" customHeight="1" x14ac:dyDescent="0.2">
      <c r="A57" s="5">
        <f t="shared" si="11"/>
        <v>4</v>
      </c>
      <c r="B57" s="173" t="s">
        <v>116</v>
      </c>
      <c r="C57" s="232" t="s">
        <v>110</v>
      </c>
      <c r="D57" s="188"/>
      <c r="E57" s="188">
        <f t="shared" ref="E57:E61" si="12">SUM(F57:Q57)</f>
        <v>2000</v>
      </c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>
        <v>1000</v>
      </c>
      <c r="Q57" s="188">
        <v>1000</v>
      </c>
      <c r="R57" s="5" t="s">
        <v>86</v>
      </c>
    </row>
    <row r="58" spans="1:18" ht="17.25" customHeight="1" x14ac:dyDescent="0.2">
      <c r="A58" s="5">
        <f t="shared" si="11"/>
        <v>5</v>
      </c>
      <c r="B58" s="173" t="s">
        <v>116</v>
      </c>
      <c r="C58" s="232" t="s">
        <v>118</v>
      </c>
      <c r="D58" s="188"/>
      <c r="E58" s="188">
        <f t="shared" si="12"/>
        <v>42000</v>
      </c>
      <c r="F58" s="188">
        <v>3500</v>
      </c>
      <c r="G58" s="188">
        <v>3500</v>
      </c>
      <c r="H58" s="188">
        <v>3500</v>
      </c>
      <c r="I58" s="188">
        <v>3500</v>
      </c>
      <c r="J58" s="188">
        <v>3500</v>
      </c>
      <c r="K58" s="188">
        <v>3500</v>
      </c>
      <c r="L58" s="188">
        <v>3500</v>
      </c>
      <c r="M58" s="188">
        <v>3500</v>
      </c>
      <c r="N58" s="188">
        <v>3500</v>
      </c>
      <c r="O58" s="188">
        <v>3500</v>
      </c>
      <c r="P58" s="188">
        <v>3500</v>
      </c>
      <c r="Q58" s="188">
        <v>3500</v>
      </c>
      <c r="R58" s="5" t="s">
        <v>86</v>
      </c>
    </row>
    <row r="59" spans="1:18" ht="28.5" x14ac:dyDescent="0.2">
      <c r="A59" s="5">
        <f t="shared" si="11"/>
        <v>6</v>
      </c>
      <c r="B59" s="173" t="s">
        <v>116</v>
      </c>
      <c r="C59" s="232" t="s">
        <v>117</v>
      </c>
      <c r="D59" s="188"/>
      <c r="E59" s="188">
        <f t="shared" si="12"/>
        <v>1320</v>
      </c>
      <c r="F59" s="188">
        <v>110</v>
      </c>
      <c r="G59" s="188">
        <v>110</v>
      </c>
      <c r="H59" s="188">
        <v>110</v>
      </c>
      <c r="I59" s="188">
        <v>110</v>
      </c>
      <c r="J59" s="188">
        <v>110</v>
      </c>
      <c r="K59" s="188">
        <v>110</v>
      </c>
      <c r="L59" s="188">
        <v>110</v>
      </c>
      <c r="M59" s="188">
        <v>110</v>
      </c>
      <c r="N59" s="188">
        <v>110</v>
      </c>
      <c r="O59" s="188">
        <v>110</v>
      </c>
      <c r="P59" s="188">
        <v>110</v>
      </c>
      <c r="Q59" s="188">
        <v>110</v>
      </c>
      <c r="R59" s="5" t="s">
        <v>86</v>
      </c>
    </row>
    <row r="60" spans="1:18" ht="42.75" x14ac:dyDescent="0.2">
      <c r="A60" s="5">
        <f>A59+1</f>
        <v>7</v>
      </c>
      <c r="B60" s="173" t="s">
        <v>116</v>
      </c>
      <c r="C60" s="232" t="s">
        <v>289</v>
      </c>
      <c r="D60" s="188"/>
      <c r="E60" s="188">
        <f t="shared" ref="E60" si="13">SUM(F60:Q60)</f>
        <v>100400</v>
      </c>
      <c r="F60" s="188">
        <v>8400</v>
      </c>
      <c r="G60" s="188">
        <v>8400</v>
      </c>
      <c r="H60" s="188">
        <v>8400</v>
      </c>
      <c r="I60" s="188">
        <v>8400</v>
      </c>
      <c r="J60" s="188">
        <v>8400</v>
      </c>
      <c r="K60" s="188">
        <v>8400</v>
      </c>
      <c r="L60" s="188">
        <v>8400</v>
      </c>
      <c r="M60" s="188">
        <v>8400</v>
      </c>
      <c r="N60" s="188">
        <v>8400</v>
      </c>
      <c r="O60" s="188">
        <v>8400</v>
      </c>
      <c r="P60" s="188">
        <v>8400</v>
      </c>
      <c r="Q60" s="188">
        <v>8000</v>
      </c>
      <c r="R60" s="5" t="s">
        <v>89</v>
      </c>
    </row>
    <row r="61" spans="1:18" ht="14.25" x14ac:dyDescent="0.2">
      <c r="A61" s="5">
        <f>A60+1</f>
        <v>8</v>
      </c>
      <c r="B61" s="173" t="s">
        <v>116</v>
      </c>
      <c r="C61" s="232" t="s">
        <v>265</v>
      </c>
      <c r="D61" s="188"/>
      <c r="E61" s="188">
        <f t="shared" si="12"/>
        <v>3800</v>
      </c>
      <c r="F61" s="188"/>
      <c r="G61" s="188">
        <v>3800</v>
      </c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5" t="s">
        <v>86</v>
      </c>
    </row>
    <row r="62" spans="1:18" ht="15.75" hidden="1" x14ac:dyDescent="0.2">
      <c r="B62" s="173" t="s">
        <v>116</v>
      </c>
      <c r="C62" s="194" t="s">
        <v>115</v>
      </c>
      <c r="D62" s="175"/>
      <c r="E62" s="175" t="e">
        <f t="shared" ref="E62:Q62" si="14">SUM(E63:E122)</f>
        <v>#VALUE!</v>
      </c>
      <c r="F62" s="175" t="e">
        <f t="shared" si="14"/>
        <v>#VALUE!</v>
      </c>
      <c r="G62" s="175" t="e">
        <f t="shared" si="14"/>
        <v>#VALUE!</v>
      </c>
      <c r="H62" s="175" t="e">
        <f t="shared" si="14"/>
        <v>#VALUE!</v>
      </c>
      <c r="I62" s="175" t="e">
        <f t="shared" si="14"/>
        <v>#VALUE!</v>
      </c>
      <c r="J62" s="175" t="e">
        <f t="shared" si="14"/>
        <v>#VALUE!</v>
      </c>
      <c r="K62" s="175" t="e">
        <f t="shared" si="14"/>
        <v>#VALUE!</v>
      </c>
      <c r="L62" s="175" t="e">
        <f t="shared" si="14"/>
        <v>#VALUE!</v>
      </c>
      <c r="M62" s="175" t="e">
        <f t="shared" si="14"/>
        <v>#VALUE!</v>
      </c>
      <c r="N62" s="175" t="e">
        <f t="shared" si="14"/>
        <v>#VALUE!</v>
      </c>
      <c r="O62" s="175" t="e">
        <f t="shared" si="14"/>
        <v>#VALUE!</v>
      </c>
      <c r="P62" s="175" t="e">
        <f t="shared" si="14"/>
        <v>#VALUE!</v>
      </c>
      <c r="Q62" s="175" t="e">
        <f t="shared" si="14"/>
        <v>#VALUE!</v>
      </c>
    </row>
    <row r="63" spans="1:18" hidden="1" x14ac:dyDescent="0.2">
      <c r="A63" s="5">
        <v>1</v>
      </c>
      <c r="B63" s="173" t="s">
        <v>116</v>
      </c>
      <c r="C63" s="195" t="s">
        <v>106</v>
      </c>
      <c r="D63" s="177"/>
      <c r="E63" s="177" t="e">
        <f t="shared" ref="E63:E94" si="15">SUM(F63:Q63)</f>
        <v>#VALUE!</v>
      </c>
      <c r="F63" s="196" t="e">
        <f>SUMIF('[1]План ЗП'!$A$8:$A$1071,'План витрат'!$B63,'[1]План ЗП'!DH$8:DH$1071)</f>
        <v>#VALUE!</v>
      </c>
      <c r="G63" s="196" t="e">
        <f>SUMIF('[1]План ЗП'!$A$8:$A$1071,'План витрат'!$B63,'[1]План ЗП'!DI$8:DI$1071)</f>
        <v>#VALUE!</v>
      </c>
      <c r="H63" s="196" t="e">
        <f>SUMIF('[1]План ЗП'!$A$8:$A$1071,'План витрат'!$B63,'[1]План ЗП'!DJ$8:DJ$1071)</f>
        <v>#VALUE!</v>
      </c>
      <c r="I63" s="196" t="e">
        <f>SUMIF('[1]План ЗП'!$A$8:$A$1071,'План витрат'!$B63,'[1]План ЗП'!DK$8:DK$1071)</f>
        <v>#VALUE!</v>
      </c>
      <c r="J63" s="196" t="e">
        <f>SUMIF('[1]План ЗП'!$A$8:$A$1071,'План витрат'!$B63,'[1]План ЗП'!DL$8:DL$1071)</f>
        <v>#VALUE!</v>
      </c>
      <c r="K63" s="196" t="e">
        <f>SUMIF('[1]План ЗП'!$A$8:$A$1071,'План витрат'!$B63,'[1]План ЗП'!DM$8:DM$1071)</f>
        <v>#VALUE!</v>
      </c>
      <c r="L63" s="196" t="e">
        <f>SUMIF('[1]План ЗП'!$A$8:$A$1071,'План витрат'!$B63,'[1]План ЗП'!DN$8:DN$1071)</f>
        <v>#VALUE!</v>
      </c>
      <c r="M63" s="196" t="e">
        <f>SUMIF('[1]План ЗП'!$A$8:$A$1071,'План витрат'!$B63,'[1]План ЗП'!DO$8:DO$1071)</f>
        <v>#VALUE!</v>
      </c>
      <c r="N63" s="196" t="e">
        <f>SUMIF('[1]План ЗП'!$A$8:$A$1071,'План витрат'!$B63,'[1]План ЗП'!DP$8:DP$1071)</f>
        <v>#VALUE!</v>
      </c>
      <c r="O63" s="196" t="e">
        <f>SUMIF('[1]План ЗП'!$A$8:$A$1071,'План витрат'!$B63,'[1]План ЗП'!DQ$8:DQ$1071)</f>
        <v>#VALUE!</v>
      </c>
      <c r="P63" s="196" t="e">
        <f>SUMIF('[1]План ЗП'!$A$8:$A$1071,'План витрат'!$B63,'[1]План ЗП'!DR$8:DR$1071)</f>
        <v>#VALUE!</v>
      </c>
      <c r="Q63" s="196" t="e">
        <f>SUMIF('[1]План ЗП'!$A$8:$A$1071,'План витрат'!$B63,'[1]План ЗП'!DS$8:DS$1071)</f>
        <v>#VALUE!</v>
      </c>
      <c r="R63" s="5" t="s">
        <v>84</v>
      </c>
    </row>
    <row r="64" spans="1:18" hidden="1" x14ac:dyDescent="0.2">
      <c r="A64" s="5">
        <f t="shared" ref="A64:A95" si="16">A63+1</f>
        <v>2</v>
      </c>
      <c r="B64" s="173" t="s">
        <v>116</v>
      </c>
      <c r="C64" s="195" t="s">
        <v>105</v>
      </c>
      <c r="D64" s="177"/>
      <c r="E64" s="177" t="e">
        <f t="shared" si="15"/>
        <v>#VALUE!</v>
      </c>
      <c r="F64" s="196" t="e">
        <f>SUMIF('[1]План ЗП'!$A$8:$A$1071,'План витрат'!$B64,'[1]План ЗП'!DU$8:DU$1071)</f>
        <v>#VALUE!</v>
      </c>
      <c r="G64" s="196" t="e">
        <f>SUMIF('[1]План ЗП'!$A$8:$A$1071,'План витрат'!$B64,'[1]План ЗП'!DV$8:DV$1071)</f>
        <v>#VALUE!</v>
      </c>
      <c r="H64" s="196" t="e">
        <f>SUMIF('[1]План ЗП'!$A$8:$A$1071,'План витрат'!$B64,'[1]План ЗП'!DW$8:DW$1071)</f>
        <v>#VALUE!</v>
      </c>
      <c r="I64" s="196" t="e">
        <f>SUMIF('[1]План ЗП'!$A$8:$A$1071,'План витрат'!$B64,'[1]План ЗП'!DX$8:DX$1071)</f>
        <v>#VALUE!</v>
      </c>
      <c r="J64" s="196" t="e">
        <f>SUMIF('[1]План ЗП'!$A$8:$A$1071,'План витрат'!$B64,'[1]План ЗП'!DY$8:DY$1071)</f>
        <v>#VALUE!</v>
      </c>
      <c r="K64" s="196" t="e">
        <f>SUMIF('[1]План ЗП'!$A$8:$A$1071,'План витрат'!$B64,'[1]План ЗП'!DZ$8:DZ$1071)</f>
        <v>#VALUE!</v>
      </c>
      <c r="L64" s="196" t="e">
        <f>SUMIF('[1]План ЗП'!$A$8:$A$1071,'План витрат'!$B64,'[1]План ЗП'!EA$8:EA$1071)</f>
        <v>#VALUE!</v>
      </c>
      <c r="M64" s="196" t="e">
        <f>SUMIF('[1]План ЗП'!$A$8:$A$1071,'План витрат'!$B64,'[1]План ЗП'!EB$8:EB$1071)</f>
        <v>#VALUE!</v>
      </c>
      <c r="N64" s="196" t="e">
        <f>SUMIF('[1]План ЗП'!$A$8:$A$1071,'План витрат'!$B64,'[1]План ЗП'!EC$8:EC$1071)</f>
        <v>#VALUE!</v>
      </c>
      <c r="O64" s="196" t="e">
        <f>SUMIF('[1]План ЗП'!$A$8:$A$1071,'План витрат'!$B64,'[1]План ЗП'!ED$8:ED$1071)</f>
        <v>#VALUE!</v>
      </c>
      <c r="P64" s="196" t="e">
        <f>SUMIF('[1]План ЗП'!$A$8:$A$1071,'План витрат'!$B64,'[1]План ЗП'!EE$8:EE$1071)</f>
        <v>#VALUE!</v>
      </c>
      <c r="Q64" s="196" t="e">
        <f>SUMIF('[1]План ЗП'!$A$8:$A$1071,'План витрат'!$B64,'[1]План ЗП'!EF$8:EF$1071)</f>
        <v>#VALUE!</v>
      </c>
      <c r="R64" s="5" t="s">
        <v>83</v>
      </c>
    </row>
    <row r="65" spans="1:17" hidden="1" x14ac:dyDescent="0.2">
      <c r="A65" s="5">
        <f t="shared" si="16"/>
        <v>3</v>
      </c>
      <c r="B65" s="173" t="s">
        <v>116</v>
      </c>
      <c r="C65" s="197"/>
      <c r="D65" s="177"/>
      <c r="E65" s="177">
        <f t="shared" si="15"/>
        <v>0</v>
      </c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</row>
    <row r="66" spans="1:17" hidden="1" x14ac:dyDescent="0.2">
      <c r="A66" s="5">
        <f t="shared" si="16"/>
        <v>4</v>
      </c>
      <c r="B66" s="173" t="s">
        <v>116</v>
      </c>
      <c r="C66" s="197"/>
      <c r="D66" s="177"/>
      <c r="E66" s="177">
        <f t="shared" si="15"/>
        <v>0</v>
      </c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</row>
    <row r="67" spans="1:17" hidden="1" x14ac:dyDescent="0.2">
      <c r="A67" s="5">
        <f t="shared" si="16"/>
        <v>5</v>
      </c>
      <c r="B67" s="173" t="s">
        <v>116</v>
      </c>
      <c r="C67" s="197"/>
      <c r="D67" s="177"/>
      <c r="E67" s="177">
        <f t="shared" si="15"/>
        <v>0</v>
      </c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</row>
    <row r="68" spans="1:17" hidden="1" x14ac:dyDescent="0.2">
      <c r="A68" s="5">
        <f t="shared" si="16"/>
        <v>6</v>
      </c>
      <c r="B68" s="173" t="s">
        <v>116</v>
      </c>
      <c r="C68" s="197"/>
      <c r="D68" s="177"/>
      <c r="E68" s="177">
        <f t="shared" si="15"/>
        <v>0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</row>
    <row r="69" spans="1:17" hidden="1" x14ac:dyDescent="0.2">
      <c r="A69" s="5">
        <f t="shared" si="16"/>
        <v>7</v>
      </c>
      <c r="B69" s="173" t="s">
        <v>116</v>
      </c>
      <c r="C69" s="197"/>
      <c r="D69" s="177"/>
      <c r="E69" s="177">
        <f t="shared" si="15"/>
        <v>0</v>
      </c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</row>
    <row r="70" spans="1:17" hidden="1" x14ac:dyDescent="0.2">
      <c r="A70" s="5">
        <f t="shared" si="16"/>
        <v>8</v>
      </c>
      <c r="B70" s="173" t="s">
        <v>116</v>
      </c>
      <c r="C70" s="197"/>
      <c r="D70" s="177"/>
      <c r="E70" s="177">
        <f t="shared" si="15"/>
        <v>0</v>
      </c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</row>
    <row r="71" spans="1:17" hidden="1" x14ac:dyDescent="0.2">
      <c r="A71" s="5">
        <f t="shared" si="16"/>
        <v>9</v>
      </c>
      <c r="B71" s="173" t="s">
        <v>116</v>
      </c>
      <c r="C71" s="197"/>
      <c r="D71" s="177"/>
      <c r="E71" s="177">
        <f t="shared" si="15"/>
        <v>0</v>
      </c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</row>
    <row r="72" spans="1:17" hidden="1" x14ac:dyDescent="0.2">
      <c r="A72" s="5">
        <f t="shared" si="16"/>
        <v>10</v>
      </c>
      <c r="B72" s="173" t="s">
        <v>116</v>
      </c>
      <c r="C72" s="197"/>
      <c r="D72" s="177"/>
      <c r="E72" s="177">
        <f t="shared" si="15"/>
        <v>0</v>
      </c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</row>
    <row r="73" spans="1:17" hidden="1" x14ac:dyDescent="0.2">
      <c r="A73" s="5">
        <f t="shared" si="16"/>
        <v>11</v>
      </c>
      <c r="B73" s="173" t="s">
        <v>116</v>
      </c>
      <c r="C73" s="197"/>
      <c r="D73" s="177"/>
      <c r="E73" s="177">
        <f t="shared" si="15"/>
        <v>0</v>
      </c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</row>
    <row r="74" spans="1:17" hidden="1" x14ac:dyDescent="0.2">
      <c r="A74" s="5">
        <f t="shared" si="16"/>
        <v>12</v>
      </c>
      <c r="B74" s="173" t="s">
        <v>116</v>
      </c>
      <c r="C74" s="197"/>
      <c r="D74" s="177"/>
      <c r="E74" s="177">
        <f t="shared" si="15"/>
        <v>0</v>
      </c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</row>
    <row r="75" spans="1:17" hidden="1" x14ac:dyDescent="0.2">
      <c r="A75" s="5">
        <f t="shared" si="16"/>
        <v>13</v>
      </c>
      <c r="B75" s="173" t="s">
        <v>116</v>
      </c>
      <c r="C75" s="197"/>
      <c r="D75" s="177"/>
      <c r="E75" s="177">
        <f t="shared" si="15"/>
        <v>0</v>
      </c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</row>
    <row r="76" spans="1:17" hidden="1" x14ac:dyDescent="0.2">
      <c r="A76" s="5">
        <f t="shared" si="16"/>
        <v>14</v>
      </c>
      <c r="B76" s="173" t="s">
        <v>116</v>
      </c>
      <c r="C76" s="197"/>
      <c r="D76" s="177"/>
      <c r="E76" s="177">
        <f t="shared" si="15"/>
        <v>0</v>
      </c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</row>
    <row r="77" spans="1:17" hidden="1" x14ac:dyDescent="0.2">
      <c r="A77" s="5">
        <f t="shared" si="16"/>
        <v>15</v>
      </c>
      <c r="B77" s="173" t="s">
        <v>116</v>
      </c>
      <c r="C77" s="197"/>
      <c r="D77" s="177"/>
      <c r="E77" s="177">
        <f t="shared" si="15"/>
        <v>0</v>
      </c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</row>
    <row r="78" spans="1:17" hidden="1" x14ac:dyDescent="0.2">
      <c r="A78" s="5">
        <f t="shared" si="16"/>
        <v>16</v>
      </c>
      <c r="B78" s="173" t="s">
        <v>116</v>
      </c>
      <c r="C78" s="197"/>
      <c r="D78" s="177"/>
      <c r="E78" s="177">
        <f t="shared" si="15"/>
        <v>0</v>
      </c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</row>
    <row r="79" spans="1:17" hidden="1" x14ac:dyDescent="0.2">
      <c r="A79" s="5">
        <f t="shared" si="16"/>
        <v>17</v>
      </c>
      <c r="B79" s="173" t="s">
        <v>116</v>
      </c>
      <c r="C79" s="197"/>
      <c r="D79" s="177"/>
      <c r="E79" s="177">
        <f t="shared" si="15"/>
        <v>0</v>
      </c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</row>
    <row r="80" spans="1:17" hidden="1" x14ac:dyDescent="0.2">
      <c r="A80" s="5">
        <f t="shared" si="16"/>
        <v>18</v>
      </c>
      <c r="B80" s="173" t="s">
        <v>116</v>
      </c>
      <c r="C80" s="197"/>
      <c r="D80" s="177"/>
      <c r="E80" s="177">
        <f t="shared" si="15"/>
        <v>0</v>
      </c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</row>
    <row r="81" spans="1:17" hidden="1" x14ac:dyDescent="0.2">
      <c r="A81" s="5">
        <f t="shared" si="16"/>
        <v>19</v>
      </c>
      <c r="B81" s="173" t="s">
        <v>116</v>
      </c>
      <c r="C81" s="197"/>
      <c r="D81" s="177"/>
      <c r="E81" s="177">
        <f t="shared" si="15"/>
        <v>0</v>
      </c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</row>
    <row r="82" spans="1:17" hidden="1" x14ac:dyDescent="0.2">
      <c r="A82" s="5">
        <f t="shared" si="16"/>
        <v>20</v>
      </c>
      <c r="B82" s="173" t="s">
        <v>116</v>
      </c>
      <c r="C82" s="197"/>
      <c r="D82" s="177"/>
      <c r="E82" s="177">
        <f t="shared" si="15"/>
        <v>0</v>
      </c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</row>
    <row r="83" spans="1:17" hidden="1" x14ac:dyDescent="0.2">
      <c r="A83" s="5">
        <f t="shared" si="16"/>
        <v>21</v>
      </c>
      <c r="B83" s="173" t="s">
        <v>116</v>
      </c>
      <c r="C83" s="197"/>
      <c r="D83" s="177"/>
      <c r="E83" s="177">
        <f t="shared" si="15"/>
        <v>0</v>
      </c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</row>
    <row r="84" spans="1:17" hidden="1" x14ac:dyDescent="0.2">
      <c r="A84" s="5">
        <f t="shared" si="16"/>
        <v>22</v>
      </c>
      <c r="B84" s="173" t="s">
        <v>116</v>
      </c>
      <c r="C84" s="197"/>
      <c r="D84" s="177"/>
      <c r="E84" s="177">
        <f t="shared" si="15"/>
        <v>0</v>
      </c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</row>
    <row r="85" spans="1:17" hidden="1" x14ac:dyDescent="0.2">
      <c r="A85" s="5">
        <f t="shared" si="16"/>
        <v>23</v>
      </c>
      <c r="B85" s="173" t="s">
        <v>116</v>
      </c>
      <c r="C85" s="197"/>
      <c r="D85" s="177"/>
      <c r="E85" s="177">
        <f t="shared" si="15"/>
        <v>0</v>
      </c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</row>
    <row r="86" spans="1:17" hidden="1" x14ac:dyDescent="0.2">
      <c r="A86" s="5">
        <f t="shared" si="16"/>
        <v>24</v>
      </c>
      <c r="B86" s="173" t="s">
        <v>116</v>
      </c>
      <c r="C86" s="197"/>
      <c r="D86" s="177"/>
      <c r="E86" s="177">
        <f t="shared" si="15"/>
        <v>0</v>
      </c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</row>
    <row r="87" spans="1:17" hidden="1" x14ac:dyDescent="0.2">
      <c r="A87" s="5">
        <f t="shared" si="16"/>
        <v>25</v>
      </c>
      <c r="B87" s="173" t="s">
        <v>116</v>
      </c>
      <c r="C87" s="197"/>
      <c r="D87" s="177"/>
      <c r="E87" s="177">
        <f t="shared" si="15"/>
        <v>0</v>
      </c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</row>
    <row r="88" spans="1:17" hidden="1" x14ac:dyDescent="0.2">
      <c r="A88" s="5">
        <f t="shared" si="16"/>
        <v>26</v>
      </c>
      <c r="B88" s="173" t="s">
        <v>116</v>
      </c>
      <c r="C88" s="197"/>
      <c r="D88" s="177"/>
      <c r="E88" s="177">
        <f t="shared" si="15"/>
        <v>0</v>
      </c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</row>
    <row r="89" spans="1:17" hidden="1" x14ac:dyDescent="0.2">
      <c r="A89" s="5">
        <f t="shared" si="16"/>
        <v>27</v>
      </c>
      <c r="B89" s="173" t="s">
        <v>116</v>
      </c>
      <c r="C89" s="197"/>
      <c r="D89" s="177"/>
      <c r="E89" s="177">
        <f t="shared" si="15"/>
        <v>0</v>
      </c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</row>
    <row r="90" spans="1:17" hidden="1" x14ac:dyDescent="0.2">
      <c r="A90" s="5">
        <f t="shared" si="16"/>
        <v>28</v>
      </c>
      <c r="B90" s="173" t="s">
        <v>116</v>
      </c>
      <c r="C90" s="197"/>
      <c r="D90" s="177"/>
      <c r="E90" s="177">
        <f t="shared" si="15"/>
        <v>0</v>
      </c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</row>
    <row r="91" spans="1:17" hidden="1" x14ac:dyDescent="0.2">
      <c r="A91" s="5">
        <f t="shared" si="16"/>
        <v>29</v>
      </c>
      <c r="B91" s="173" t="s">
        <v>116</v>
      </c>
      <c r="C91" s="197"/>
      <c r="D91" s="177"/>
      <c r="E91" s="177">
        <f t="shared" si="15"/>
        <v>0</v>
      </c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</row>
    <row r="92" spans="1:17" hidden="1" x14ac:dyDescent="0.2">
      <c r="A92" s="5">
        <f t="shared" si="16"/>
        <v>30</v>
      </c>
      <c r="B92" s="173" t="s">
        <v>116</v>
      </c>
      <c r="C92" s="197"/>
      <c r="D92" s="177"/>
      <c r="E92" s="177">
        <f t="shared" si="15"/>
        <v>0</v>
      </c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</row>
    <row r="93" spans="1:17" hidden="1" x14ac:dyDescent="0.2">
      <c r="A93" s="5">
        <f t="shared" si="16"/>
        <v>31</v>
      </c>
      <c r="B93" s="173" t="s">
        <v>116</v>
      </c>
      <c r="C93" s="197"/>
      <c r="D93" s="177"/>
      <c r="E93" s="177">
        <f t="shared" si="15"/>
        <v>0</v>
      </c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</row>
    <row r="94" spans="1:17" hidden="1" x14ac:dyDescent="0.2">
      <c r="A94" s="5">
        <f t="shared" si="16"/>
        <v>32</v>
      </c>
      <c r="B94" s="173" t="s">
        <v>116</v>
      </c>
      <c r="C94" s="197"/>
      <c r="D94" s="177"/>
      <c r="E94" s="177">
        <f t="shared" si="15"/>
        <v>0</v>
      </c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</row>
    <row r="95" spans="1:17" hidden="1" x14ac:dyDescent="0.2">
      <c r="A95" s="5">
        <f t="shared" si="16"/>
        <v>33</v>
      </c>
      <c r="B95" s="173" t="s">
        <v>116</v>
      </c>
      <c r="C95" s="197"/>
      <c r="D95" s="177"/>
      <c r="E95" s="177">
        <f t="shared" ref="E95:E122" si="17">SUM(F95:Q95)</f>
        <v>0</v>
      </c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</row>
    <row r="96" spans="1:17" hidden="1" x14ac:dyDescent="0.2">
      <c r="A96" s="5">
        <f t="shared" ref="A96:A122" si="18">A95+1</f>
        <v>34</v>
      </c>
      <c r="B96" s="173" t="s">
        <v>116</v>
      </c>
      <c r="C96" s="197"/>
      <c r="D96" s="177"/>
      <c r="E96" s="177">
        <f t="shared" si="17"/>
        <v>0</v>
      </c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</row>
    <row r="97" spans="1:17" hidden="1" x14ac:dyDescent="0.2">
      <c r="A97" s="5">
        <f t="shared" si="18"/>
        <v>35</v>
      </c>
      <c r="B97" s="173" t="s">
        <v>116</v>
      </c>
      <c r="C97" s="197"/>
      <c r="D97" s="177"/>
      <c r="E97" s="177">
        <f t="shared" si="17"/>
        <v>0</v>
      </c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</row>
    <row r="98" spans="1:17" hidden="1" x14ac:dyDescent="0.2">
      <c r="A98" s="5">
        <f t="shared" si="18"/>
        <v>36</v>
      </c>
      <c r="B98" s="173" t="s">
        <v>116</v>
      </c>
      <c r="C98" s="197"/>
      <c r="D98" s="177"/>
      <c r="E98" s="177">
        <f t="shared" si="17"/>
        <v>0</v>
      </c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</row>
    <row r="99" spans="1:17" hidden="1" x14ac:dyDescent="0.2">
      <c r="A99" s="5">
        <f t="shared" si="18"/>
        <v>37</v>
      </c>
      <c r="B99" s="173" t="s">
        <v>116</v>
      </c>
      <c r="C99" s="197"/>
      <c r="D99" s="177"/>
      <c r="E99" s="177">
        <f t="shared" si="17"/>
        <v>0</v>
      </c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</row>
    <row r="100" spans="1:17" hidden="1" x14ac:dyDescent="0.2">
      <c r="A100" s="5">
        <f t="shared" si="18"/>
        <v>38</v>
      </c>
      <c r="B100" s="173" t="s">
        <v>116</v>
      </c>
      <c r="C100" s="197"/>
      <c r="D100" s="177"/>
      <c r="E100" s="177">
        <f t="shared" si="17"/>
        <v>0</v>
      </c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</row>
    <row r="101" spans="1:17" hidden="1" x14ac:dyDescent="0.2">
      <c r="A101" s="5">
        <f t="shared" si="18"/>
        <v>39</v>
      </c>
      <c r="B101" s="173" t="s">
        <v>116</v>
      </c>
      <c r="C101" s="197"/>
      <c r="D101" s="177"/>
      <c r="E101" s="177">
        <f t="shared" si="17"/>
        <v>0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</row>
    <row r="102" spans="1:17" hidden="1" x14ac:dyDescent="0.2">
      <c r="A102" s="5">
        <f t="shared" si="18"/>
        <v>40</v>
      </c>
      <c r="B102" s="173" t="s">
        <v>116</v>
      </c>
      <c r="C102" s="197"/>
      <c r="D102" s="177"/>
      <c r="E102" s="177">
        <f t="shared" si="17"/>
        <v>0</v>
      </c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</row>
    <row r="103" spans="1:17" hidden="1" x14ac:dyDescent="0.2">
      <c r="A103" s="5">
        <f t="shared" si="18"/>
        <v>41</v>
      </c>
      <c r="B103" s="173" t="s">
        <v>116</v>
      </c>
      <c r="C103" s="197"/>
      <c r="D103" s="177"/>
      <c r="E103" s="177">
        <f t="shared" si="17"/>
        <v>0</v>
      </c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</row>
    <row r="104" spans="1:17" hidden="1" x14ac:dyDescent="0.2">
      <c r="A104" s="5">
        <f t="shared" si="18"/>
        <v>42</v>
      </c>
      <c r="B104" s="173" t="s">
        <v>116</v>
      </c>
      <c r="C104" s="197"/>
      <c r="D104" s="177"/>
      <c r="E104" s="177">
        <f t="shared" si="17"/>
        <v>0</v>
      </c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</row>
    <row r="105" spans="1:17" hidden="1" x14ac:dyDescent="0.2">
      <c r="A105" s="5">
        <f t="shared" si="18"/>
        <v>43</v>
      </c>
      <c r="B105" s="173" t="s">
        <v>116</v>
      </c>
      <c r="C105" s="197"/>
      <c r="D105" s="177"/>
      <c r="E105" s="177">
        <f t="shared" si="17"/>
        <v>0</v>
      </c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</row>
    <row r="106" spans="1:17" hidden="1" x14ac:dyDescent="0.2">
      <c r="A106" s="5">
        <f t="shared" si="18"/>
        <v>44</v>
      </c>
      <c r="B106" s="173" t="s">
        <v>116</v>
      </c>
      <c r="C106" s="197"/>
      <c r="D106" s="177"/>
      <c r="E106" s="177">
        <f t="shared" si="17"/>
        <v>0</v>
      </c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</row>
    <row r="107" spans="1:17" hidden="1" x14ac:dyDescent="0.2">
      <c r="A107" s="5">
        <f t="shared" si="18"/>
        <v>45</v>
      </c>
      <c r="B107" s="173" t="s">
        <v>116</v>
      </c>
      <c r="C107" s="197"/>
      <c r="D107" s="177"/>
      <c r="E107" s="177">
        <f t="shared" si="17"/>
        <v>0</v>
      </c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</row>
    <row r="108" spans="1:17" hidden="1" x14ac:dyDescent="0.2">
      <c r="A108" s="5">
        <f t="shared" si="18"/>
        <v>46</v>
      </c>
      <c r="B108" s="173" t="s">
        <v>116</v>
      </c>
      <c r="C108" s="197"/>
      <c r="D108" s="177"/>
      <c r="E108" s="177">
        <f t="shared" si="17"/>
        <v>0</v>
      </c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</row>
    <row r="109" spans="1:17" hidden="1" x14ac:dyDescent="0.2">
      <c r="A109" s="5">
        <f t="shared" si="18"/>
        <v>47</v>
      </c>
      <c r="B109" s="173" t="s">
        <v>116</v>
      </c>
      <c r="C109" s="197"/>
      <c r="D109" s="177"/>
      <c r="E109" s="177">
        <f t="shared" si="17"/>
        <v>0</v>
      </c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</row>
    <row r="110" spans="1:17" hidden="1" x14ac:dyDescent="0.2">
      <c r="A110" s="5">
        <f t="shared" si="18"/>
        <v>48</v>
      </c>
      <c r="B110" s="173" t="s">
        <v>116</v>
      </c>
      <c r="C110" s="197"/>
      <c r="D110" s="177"/>
      <c r="E110" s="177">
        <f t="shared" si="17"/>
        <v>0</v>
      </c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</row>
    <row r="111" spans="1:17" hidden="1" x14ac:dyDescent="0.2">
      <c r="A111" s="5">
        <f t="shared" si="18"/>
        <v>49</v>
      </c>
      <c r="B111" s="173" t="s">
        <v>116</v>
      </c>
      <c r="C111" s="197"/>
      <c r="D111" s="177"/>
      <c r="E111" s="177">
        <f t="shared" si="17"/>
        <v>0</v>
      </c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</row>
    <row r="112" spans="1:17" hidden="1" x14ac:dyDescent="0.2">
      <c r="A112" s="5">
        <f t="shared" si="18"/>
        <v>50</v>
      </c>
      <c r="B112" s="173" t="s">
        <v>116</v>
      </c>
      <c r="C112" s="197"/>
      <c r="D112" s="177"/>
      <c r="E112" s="177">
        <f t="shared" si="17"/>
        <v>0</v>
      </c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</row>
    <row r="113" spans="1:18" hidden="1" x14ac:dyDescent="0.2">
      <c r="A113" s="5">
        <f t="shared" si="18"/>
        <v>51</v>
      </c>
      <c r="B113" s="173" t="s">
        <v>116</v>
      </c>
      <c r="C113" s="197"/>
      <c r="D113" s="177"/>
      <c r="E113" s="177">
        <f t="shared" si="17"/>
        <v>0</v>
      </c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</row>
    <row r="114" spans="1:18" hidden="1" x14ac:dyDescent="0.2">
      <c r="A114" s="5">
        <f t="shared" si="18"/>
        <v>52</v>
      </c>
      <c r="B114" s="173" t="s">
        <v>116</v>
      </c>
      <c r="C114" s="197"/>
      <c r="D114" s="177"/>
      <c r="E114" s="177">
        <f t="shared" si="17"/>
        <v>0</v>
      </c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</row>
    <row r="115" spans="1:18" hidden="1" x14ac:dyDescent="0.2">
      <c r="A115" s="5">
        <f t="shared" si="18"/>
        <v>53</v>
      </c>
      <c r="B115" s="173" t="s">
        <v>116</v>
      </c>
      <c r="C115" s="197"/>
      <c r="D115" s="177"/>
      <c r="E115" s="177">
        <f t="shared" si="17"/>
        <v>0</v>
      </c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</row>
    <row r="116" spans="1:18" hidden="1" x14ac:dyDescent="0.2">
      <c r="A116" s="5">
        <f t="shared" si="18"/>
        <v>54</v>
      </c>
      <c r="B116" s="173" t="s">
        <v>116</v>
      </c>
      <c r="C116" s="197"/>
      <c r="D116" s="177"/>
      <c r="E116" s="177">
        <f t="shared" si="17"/>
        <v>0</v>
      </c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</row>
    <row r="117" spans="1:18" hidden="1" x14ac:dyDescent="0.2">
      <c r="A117" s="5">
        <f t="shared" si="18"/>
        <v>55</v>
      </c>
      <c r="B117" s="173" t="s">
        <v>116</v>
      </c>
      <c r="C117" s="197"/>
      <c r="D117" s="177"/>
      <c r="E117" s="177">
        <f t="shared" si="17"/>
        <v>0</v>
      </c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</row>
    <row r="118" spans="1:18" hidden="1" x14ac:dyDescent="0.2">
      <c r="A118" s="5">
        <f t="shared" si="18"/>
        <v>56</v>
      </c>
      <c r="B118" s="173" t="s">
        <v>116</v>
      </c>
      <c r="C118" s="197"/>
      <c r="D118" s="177"/>
      <c r="E118" s="177">
        <f t="shared" si="17"/>
        <v>0</v>
      </c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</row>
    <row r="119" spans="1:18" hidden="1" x14ac:dyDescent="0.2">
      <c r="A119" s="5">
        <f t="shared" si="18"/>
        <v>57</v>
      </c>
      <c r="B119" s="173" t="s">
        <v>116</v>
      </c>
      <c r="C119" s="197"/>
      <c r="D119" s="177"/>
      <c r="E119" s="177">
        <f t="shared" si="17"/>
        <v>0</v>
      </c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</row>
    <row r="120" spans="1:18" hidden="1" x14ac:dyDescent="0.2">
      <c r="A120" s="5">
        <f t="shared" si="18"/>
        <v>58</v>
      </c>
      <c r="B120" s="173" t="s">
        <v>116</v>
      </c>
      <c r="C120" s="197"/>
      <c r="D120" s="177"/>
      <c r="E120" s="177">
        <f t="shared" si="17"/>
        <v>0</v>
      </c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</row>
    <row r="121" spans="1:18" hidden="1" x14ac:dyDescent="0.2">
      <c r="A121" s="5">
        <f t="shared" si="18"/>
        <v>59</v>
      </c>
      <c r="B121" s="173" t="s">
        <v>116</v>
      </c>
      <c r="C121" s="197"/>
      <c r="D121" s="177"/>
      <c r="E121" s="177">
        <f t="shared" si="17"/>
        <v>0</v>
      </c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</row>
    <row r="122" spans="1:18" hidden="1" x14ac:dyDescent="0.2">
      <c r="A122" s="5">
        <f t="shared" si="18"/>
        <v>60</v>
      </c>
      <c r="B122" s="173" t="s">
        <v>116</v>
      </c>
      <c r="C122" s="197"/>
      <c r="D122" s="177"/>
      <c r="E122" s="177">
        <f t="shared" si="17"/>
        <v>0</v>
      </c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</row>
    <row r="123" spans="1:18" ht="15.75" hidden="1" x14ac:dyDescent="0.2">
      <c r="B123" s="173" t="s">
        <v>116</v>
      </c>
      <c r="C123" s="194" t="s">
        <v>114</v>
      </c>
      <c r="D123" s="175"/>
      <c r="E123" s="175" t="e">
        <f t="shared" ref="E123:Q123" si="19">SUM(E124:E183)</f>
        <v>#VALUE!</v>
      </c>
      <c r="F123" s="175" t="e">
        <f t="shared" si="19"/>
        <v>#VALUE!</v>
      </c>
      <c r="G123" s="175" t="e">
        <f t="shared" si="19"/>
        <v>#VALUE!</v>
      </c>
      <c r="H123" s="175" t="e">
        <f t="shared" si="19"/>
        <v>#VALUE!</v>
      </c>
      <c r="I123" s="175" t="e">
        <f t="shared" si="19"/>
        <v>#VALUE!</v>
      </c>
      <c r="J123" s="175" t="e">
        <f t="shared" si="19"/>
        <v>#VALUE!</v>
      </c>
      <c r="K123" s="175" t="e">
        <f t="shared" si="19"/>
        <v>#VALUE!</v>
      </c>
      <c r="L123" s="175" t="e">
        <f t="shared" si="19"/>
        <v>#VALUE!</v>
      </c>
      <c r="M123" s="175" t="e">
        <f t="shared" si="19"/>
        <v>#VALUE!</v>
      </c>
      <c r="N123" s="175" t="e">
        <f t="shared" si="19"/>
        <v>#VALUE!</v>
      </c>
      <c r="O123" s="175" t="e">
        <f t="shared" si="19"/>
        <v>#VALUE!</v>
      </c>
      <c r="P123" s="175" t="e">
        <f t="shared" si="19"/>
        <v>#VALUE!</v>
      </c>
      <c r="Q123" s="175" t="e">
        <f t="shared" si="19"/>
        <v>#VALUE!</v>
      </c>
    </row>
    <row r="124" spans="1:18" hidden="1" x14ac:dyDescent="0.2">
      <c r="A124" s="5">
        <v>1</v>
      </c>
      <c r="B124" s="173" t="s">
        <v>116</v>
      </c>
      <c r="C124" s="195" t="s">
        <v>106</v>
      </c>
      <c r="D124" s="177"/>
      <c r="E124" s="177" t="e">
        <f t="shared" ref="E124:E155" si="20">SUM(F124:Q124)</f>
        <v>#VALUE!</v>
      </c>
      <c r="F124" s="196" t="e">
        <f>SUMIF('[1]План ЗП'!$A$8:$A$1071,'План витрат'!$B124,'[1]План ЗП'!DH$8:DH$1071)</f>
        <v>#VALUE!</v>
      </c>
      <c r="G124" s="196" t="e">
        <f>SUMIF('[1]План ЗП'!$A$8:$A$1071,'План витрат'!$B124,'[1]План ЗП'!DI$8:DI$1071)</f>
        <v>#VALUE!</v>
      </c>
      <c r="H124" s="196" t="e">
        <f>SUMIF('[1]План ЗП'!$A$8:$A$1071,'План витрат'!$B124,'[1]План ЗП'!DJ$8:DJ$1071)</f>
        <v>#VALUE!</v>
      </c>
      <c r="I124" s="196" t="e">
        <f>SUMIF('[1]План ЗП'!$A$8:$A$1071,'План витрат'!$B124,'[1]План ЗП'!DK$8:DK$1071)</f>
        <v>#VALUE!</v>
      </c>
      <c r="J124" s="196" t="e">
        <f>SUMIF('[1]План ЗП'!$A$8:$A$1071,'План витрат'!$B124,'[1]План ЗП'!DL$8:DL$1071)</f>
        <v>#VALUE!</v>
      </c>
      <c r="K124" s="196" t="e">
        <f>SUMIF('[1]План ЗП'!$A$8:$A$1071,'План витрат'!$B124,'[1]План ЗП'!DM$8:DM$1071)</f>
        <v>#VALUE!</v>
      </c>
      <c r="L124" s="196" t="e">
        <f>SUMIF('[1]План ЗП'!$A$8:$A$1071,'План витрат'!$B124,'[1]План ЗП'!DN$8:DN$1071)</f>
        <v>#VALUE!</v>
      </c>
      <c r="M124" s="196" t="e">
        <f>SUMIF('[1]План ЗП'!$A$8:$A$1071,'План витрат'!$B124,'[1]План ЗП'!DO$8:DO$1071)</f>
        <v>#VALUE!</v>
      </c>
      <c r="N124" s="196" t="e">
        <f>SUMIF('[1]План ЗП'!$A$8:$A$1071,'План витрат'!$B124,'[1]План ЗП'!DP$8:DP$1071)</f>
        <v>#VALUE!</v>
      </c>
      <c r="O124" s="196" t="e">
        <f>SUMIF('[1]План ЗП'!$A$8:$A$1071,'План витрат'!$B124,'[1]План ЗП'!DQ$8:DQ$1071)</f>
        <v>#VALUE!</v>
      </c>
      <c r="P124" s="196" t="e">
        <f>SUMIF('[1]План ЗП'!$A$8:$A$1071,'План витрат'!$B124,'[1]План ЗП'!DR$8:DR$1071)</f>
        <v>#VALUE!</v>
      </c>
      <c r="Q124" s="196" t="e">
        <f>SUMIF('[1]План ЗП'!$A$8:$A$1071,'План витрат'!$B124,'[1]План ЗП'!DS$8:DS$1071)</f>
        <v>#VALUE!</v>
      </c>
      <c r="R124" s="5" t="s">
        <v>84</v>
      </c>
    </row>
    <row r="125" spans="1:18" hidden="1" x14ac:dyDescent="0.2">
      <c r="A125" s="5">
        <f t="shared" ref="A125:A156" si="21">A124+1</f>
        <v>2</v>
      </c>
      <c r="B125" s="173" t="s">
        <v>116</v>
      </c>
      <c r="C125" s="195" t="s">
        <v>105</v>
      </c>
      <c r="D125" s="177"/>
      <c r="E125" s="177" t="e">
        <f t="shared" si="20"/>
        <v>#VALUE!</v>
      </c>
      <c r="F125" s="196" t="e">
        <f>SUMIF('[1]План ЗП'!$A$8:$A$1071,'План витрат'!$B125,'[1]План ЗП'!DU$8:DU$1071)</f>
        <v>#VALUE!</v>
      </c>
      <c r="G125" s="196" t="e">
        <f>SUMIF('[1]План ЗП'!$A$8:$A$1071,'План витрат'!$B125,'[1]План ЗП'!DV$8:DV$1071)</f>
        <v>#VALUE!</v>
      </c>
      <c r="H125" s="196" t="e">
        <f>SUMIF('[1]План ЗП'!$A$8:$A$1071,'План витрат'!$B125,'[1]План ЗП'!DW$8:DW$1071)</f>
        <v>#VALUE!</v>
      </c>
      <c r="I125" s="196" t="e">
        <f>SUMIF('[1]План ЗП'!$A$8:$A$1071,'План витрат'!$B125,'[1]План ЗП'!DX$8:DX$1071)</f>
        <v>#VALUE!</v>
      </c>
      <c r="J125" s="196" t="e">
        <f>SUMIF('[1]План ЗП'!$A$8:$A$1071,'План витрат'!$B125,'[1]План ЗП'!DY$8:DY$1071)</f>
        <v>#VALUE!</v>
      </c>
      <c r="K125" s="196" t="e">
        <f>SUMIF('[1]План ЗП'!$A$8:$A$1071,'План витрат'!$B125,'[1]План ЗП'!DZ$8:DZ$1071)</f>
        <v>#VALUE!</v>
      </c>
      <c r="L125" s="196" t="e">
        <f>SUMIF('[1]План ЗП'!$A$8:$A$1071,'План витрат'!$B125,'[1]План ЗП'!EA$8:EA$1071)</f>
        <v>#VALUE!</v>
      </c>
      <c r="M125" s="196" t="e">
        <f>SUMIF('[1]План ЗП'!$A$8:$A$1071,'План витрат'!$B125,'[1]План ЗП'!EB$8:EB$1071)</f>
        <v>#VALUE!</v>
      </c>
      <c r="N125" s="196" t="e">
        <f>SUMIF('[1]План ЗП'!$A$8:$A$1071,'План витрат'!$B125,'[1]План ЗП'!EC$8:EC$1071)</f>
        <v>#VALUE!</v>
      </c>
      <c r="O125" s="196" t="e">
        <f>SUMIF('[1]План ЗП'!$A$8:$A$1071,'План витрат'!$B125,'[1]План ЗП'!ED$8:ED$1071)</f>
        <v>#VALUE!</v>
      </c>
      <c r="P125" s="196" t="e">
        <f>SUMIF('[1]План ЗП'!$A$8:$A$1071,'План витрат'!$B125,'[1]План ЗП'!EE$8:EE$1071)</f>
        <v>#VALUE!</v>
      </c>
      <c r="Q125" s="196" t="e">
        <f>SUMIF('[1]План ЗП'!$A$8:$A$1071,'План витрат'!$B125,'[1]План ЗП'!EF$8:EF$1071)</f>
        <v>#VALUE!</v>
      </c>
      <c r="R125" s="5" t="s">
        <v>83</v>
      </c>
    </row>
    <row r="126" spans="1:18" hidden="1" x14ac:dyDescent="0.2">
      <c r="A126" s="5">
        <f t="shared" si="21"/>
        <v>3</v>
      </c>
      <c r="B126" s="173" t="s">
        <v>116</v>
      </c>
      <c r="C126" s="197"/>
      <c r="D126" s="177"/>
      <c r="E126" s="177">
        <f t="shared" si="20"/>
        <v>0</v>
      </c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</row>
    <row r="127" spans="1:18" hidden="1" x14ac:dyDescent="0.2">
      <c r="A127" s="5">
        <f t="shared" si="21"/>
        <v>4</v>
      </c>
      <c r="B127" s="173" t="s">
        <v>116</v>
      </c>
      <c r="C127" s="197"/>
      <c r="D127" s="177"/>
      <c r="E127" s="177">
        <f t="shared" si="20"/>
        <v>0</v>
      </c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</row>
    <row r="128" spans="1:18" hidden="1" x14ac:dyDescent="0.2">
      <c r="A128" s="5">
        <f t="shared" si="21"/>
        <v>5</v>
      </c>
      <c r="B128" s="173" t="s">
        <v>116</v>
      </c>
      <c r="C128" s="197"/>
      <c r="D128" s="177"/>
      <c r="E128" s="177">
        <f t="shared" si="20"/>
        <v>0</v>
      </c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</row>
    <row r="129" spans="1:17" hidden="1" x14ac:dyDescent="0.2">
      <c r="A129" s="5">
        <f t="shared" si="21"/>
        <v>6</v>
      </c>
      <c r="B129" s="173" t="s">
        <v>116</v>
      </c>
      <c r="C129" s="197"/>
      <c r="D129" s="177"/>
      <c r="E129" s="177">
        <f t="shared" si="20"/>
        <v>0</v>
      </c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</row>
    <row r="130" spans="1:17" hidden="1" x14ac:dyDescent="0.2">
      <c r="A130" s="5">
        <f t="shared" si="21"/>
        <v>7</v>
      </c>
      <c r="B130" s="173" t="s">
        <v>116</v>
      </c>
      <c r="C130" s="197"/>
      <c r="D130" s="177"/>
      <c r="E130" s="177">
        <f t="shared" si="20"/>
        <v>0</v>
      </c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</row>
    <row r="131" spans="1:17" hidden="1" x14ac:dyDescent="0.2">
      <c r="A131" s="5">
        <f t="shared" si="21"/>
        <v>8</v>
      </c>
      <c r="B131" s="173" t="s">
        <v>116</v>
      </c>
      <c r="C131" s="197"/>
      <c r="D131" s="177"/>
      <c r="E131" s="177">
        <f t="shared" si="20"/>
        <v>0</v>
      </c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</row>
    <row r="132" spans="1:17" hidden="1" x14ac:dyDescent="0.2">
      <c r="A132" s="5">
        <f t="shared" si="21"/>
        <v>9</v>
      </c>
      <c r="B132" s="173" t="s">
        <v>116</v>
      </c>
      <c r="C132" s="197"/>
      <c r="D132" s="177"/>
      <c r="E132" s="177">
        <f t="shared" si="20"/>
        <v>0</v>
      </c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</row>
    <row r="133" spans="1:17" hidden="1" x14ac:dyDescent="0.2">
      <c r="A133" s="5">
        <f t="shared" si="21"/>
        <v>10</v>
      </c>
      <c r="B133" s="173" t="s">
        <v>116</v>
      </c>
      <c r="C133" s="197"/>
      <c r="D133" s="177"/>
      <c r="E133" s="177">
        <f t="shared" si="20"/>
        <v>0</v>
      </c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</row>
    <row r="134" spans="1:17" hidden="1" x14ac:dyDescent="0.2">
      <c r="A134" s="5">
        <f t="shared" si="21"/>
        <v>11</v>
      </c>
      <c r="B134" s="173" t="s">
        <v>116</v>
      </c>
      <c r="C134" s="197"/>
      <c r="D134" s="177"/>
      <c r="E134" s="177">
        <f t="shared" si="20"/>
        <v>0</v>
      </c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</row>
    <row r="135" spans="1:17" hidden="1" x14ac:dyDescent="0.2">
      <c r="A135" s="5">
        <f t="shared" si="21"/>
        <v>12</v>
      </c>
      <c r="B135" s="173" t="s">
        <v>116</v>
      </c>
      <c r="C135" s="197"/>
      <c r="D135" s="177"/>
      <c r="E135" s="177">
        <f t="shared" si="20"/>
        <v>0</v>
      </c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</row>
    <row r="136" spans="1:17" hidden="1" x14ac:dyDescent="0.2">
      <c r="A136" s="5">
        <f t="shared" si="21"/>
        <v>13</v>
      </c>
      <c r="B136" s="173" t="s">
        <v>116</v>
      </c>
      <c r="C136" s="197"/>
      <c r="D136" s="177"/>
      <c r="E136" s="177">
        <f t="shared" si="20"/>
        <v>0</v>
      </c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</row>
    <row r="137" spans="1:17" hidden="1" x14ac:dyDescent="0.2">
      <c r="A137" s="5">
        <f t="shared" si="21"/>
        <v>14</v>
      </c>
      <c r="B137" s="173" t="s">
        <v>116</v>
      </c>
      <c r="C137" s="197"/>
      <c r="D137" s="177"/>
      <c r="E137" s="177">
        <f t="shared" si="20"/>
        <v>0</v>
      </c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</row>
    <row r="138" spans="1:17" hidden="1" x14ac:dyDescent="0.2">
      <c r="A138" s="5">
        <f t="shared" si="21"/>
        <v>15</v>
      </c>
      <c r="B138" s="173" t="s">
        <v>116</v>
      </c>
      <c r="C138" s="197"/>
      <c r="D138" s="177"/>
      <c r="E138" s="177">
        <f t="shared" si="20"/>
        <v>0</v>
      </c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</row>
    <row r="139" spans="1:17" hidden="1" x14ac:dyDescent="0.2">
      <c r="A139" s="5">
        <f t="shared" si="21"/>
        <v>16</v>
      </c>
      <c r="B139" s="173" t="s">
        <v>116</v>
      </c>
      <c r="C139" s="197"/>
      <c r="D139" s="177"/>
      <c r="E139" s="177">
        <f t="shared" si="20"/>
        <v>0</v>
      </c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</row>
    <row r="140" spans="1:17" hidden="1" x14ac:dyDescent="0.2">
      <c r="A140" s="5">
        <f t="shared" si="21"/>
        <v>17</v>
      </c>
      <c r="B140" s="173" t="s">
        <v>116</v>
      </c>
      <c r="C140" s="197"/>
      <c r="D140" s="177"/>
      <c r="E140" s="177">
        <f t="shared" si="20"/>
        <v>0</v>
      </c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</row>
    <row r="141" spans="1:17" hidden="1" x14ac:dyDescent="0.2">
      <c r="A141" s="5">
        <f t="shared" si="21"/>
        <v>18</v>
      </c>
      <c r="B141" s="173" t="s">
        <v>116</v>
      </c>
      <c r="C141" s="197"/>
      <c r="D141" s="177"/>
      <c r="E141" s="177">
        <f t="shared" si="20"/>
        <v>0</v>
      </c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</row>
    <row r="142" spans="1:17" hidden="1" x14ac:dyDescent="0.2">
      <c r="A142" s="5">
        <f t="shared" si="21"/>
        <v>19</v>
      </c>
      <c r="B142" s="173" t="s">
        <v>116</v>
      </c>
      <c r="C142" s="197"/>
      <c r="D142" s="177"/>
      <c r="E142" s="177">
        <f t="shared" si="20"/>
        <v>0</v>
      </c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</row>
    <row r="143" spans="1:17" hidden="1" x14ac:dyDescent="0.2">
      <c r="A143" s="5">
        <f t="shared" si="21"/>
        <v>20</v>
      </c>
      <c r="B143" s="173" t="s">
        <v>116</v>
      </c>
      <c r="C143" s="197"/>
      <c r="D143" s="177"/>
      <c r="E143" s="177">
        <f t="shared" si="20"/>
        <v>0</v>
      </c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</row>
    <row r="144" spans="1:17" hidden="1" x14ac:dyDescent="0.2">
      <c r="A144" s="5">
        <f t="shared" si="21"/>
        <v>21</v>
      </c>
      <c r="B144" s="173" t="s">
        <v>116</v>
      </c>
      <c r="C144" s="197"/>
      <c r="D144" s="177"/>
      <c r="E144" s="177">
        <f t="shared" si="20"/>
        <v>0</v>
      </c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</row>
    <row r="145" spans="1:17" hidden="1" x14ac:dyDescent="0.2">
      <c r="A145" s="5">
        <f t="shared" si="21"/>
        <v>22</v>
      </c>
      <c r="B145" s="173" t="s">
        <v>116</v>
      </c>
      <c r="C145" s="197"/>
      <c r="D145" s="177"/>
      <c r="E145" s="177">
        <f t="shared" si="20"/>
        <v>0</v>
      </c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</row>
    <row r="146" spans="1:17" hidden="1" x14ac:dyDescent="0.2">
      <c r="A146" s="5">
        <f t="shared" si="21"/>
        <v>23</v>
      </c>
      <c r="B146" s="173" t="s">
        <v>116</v>
      </c>
      <c r="C146" s="197"/>
      <c r="D146" s="177"/>
      <c r="E146" s="177">
        <f t="shared" si="20"/>
        <v>0</v>
      </c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</row>
    <row r="147" spans="1:17" hidden="1" x14ac:dyDescent="0.2">
      <c r="A147" s="5">
        <f t="shared" si="21"/>
        <v>24</v>
      </c>
      <c r="B147" s="173" t="s">
        <v>116</v>
      </c>
      <c r="C147" s="197"/>
      <c r="D147" s="177"/>
      <c r="E147" s="177">
        <f t="shared" si="20"/>
        <v>0</v>
      </c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</row>
    <row r="148" spans="1:17" hidden="1" x14ac:dyDescent="0.2">
      <c r="A148" s="5">
        <f t="shared" si="21"/>
        <v>25</v>
      </c>
      <c r="B148" s="173" t="s">
        <v>116</v>
      </c>
      <c r="C148" s="197"/>
      <c r="D148" s="177"/>
      <c r="E148" s="177">
        <f t="shared" si="20"/>
        <v>0</v>
      </c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</row>
    <row r="149" spans="1:17" hidden="1" x14ac:dyDescent="0.2">
      <c r="A149" s="5">
        <f t="shared" si="21"/>
        <v>26</v>
      </c>
      <c r="B149" s="173" t="s">
        <v>116</v>
      </c>
      <c r="C149" s="197"/>
      <c r="D149" s="177"/>
      <c r="E149" s="177">
        <f t="shared" si="20"/>
        <v>0</v>
      </c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</row>
    <row r="150" spans="1:17" hidden="1" x14ac:dyDescent="0.2">
      <c r="A150" s="5">
        <f t="shared" si="21"/>
        <v>27</v>
      </c>
      <c r="B150" s="173" t="s">
        <v>116</v>
      </c>
      <c r="C150" s="197"/>
      <c r="D150" s="177"/>
      <c r="E150" s="177">
        <f t="shared" si="20"/>
        <v>0</v>
      </c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</row>
    <row r="151" spans="1:17" hidden="1" x14ac:dyDescent="0.2">
      <c r="A151" s="5">
        <f t="shared" si="21"/>
        <v>28</v>
      </c>
      <c r="B151" s="173" t="s">
        <v>116</v>
      </c>
      <c r="C151" s="197"/>
      <c r="D151" s="177"/>
      <c r="E151" s="177">
        <f t="shared" si="20"/>
        <v>0</v>
      </c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</row>
    <row r="152" spans="1:17" hidden="1" x14ac:dyDescent="0.2">
      <c r="A152" s="5">
        <f t="shared" si="21"/>
        <v>29</v>
      </c>
      <c r="B152" s="173" t="s">
        <v>116</v>
      </c>
      <c r="C152" s="197"/>
      <c r="D152" s="177"/>
      <c r="E152" s="177">
        <f t="shared" si="20"/>
        <v>0</v>
      </c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</row>
    <row r="153" spans="1:17" hidden="1" x14ac:dyDescent="0.2">
      <c r="A153" s="5">
        <f t="shared" si="21"/>
        <v>30</v>
      </c>
      <c r="B153" s="173" t="s">
        <v>116</v>
      </c>
      <c r="C153" s="197"/>
      <c r="D153" s="177"/>
      <c r="E153" s="177">
        <f t="shared" si="20"/>
        <v>0</v>
      </c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</row>
    <row r="154" spans="1:17" hidden="1" x14ac:dyDescent="0.2">
      <c r="A154" s="5">
        <f t="shared" si="21"/>
        <v>31</v>
      </c>
      <c r="B154" s="173" t="s">
        <v>116</v>
      </c>
      <c r="C154" s="197"/>
      <c r="D154" s="177"/>
      <c r="E154" s="177">
        <f t="shared" si="20"/>
        <v>0</v>
      </c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</row>
    <row r="155" spans="1:17" hidden="1" x14ac:dyDescent="0.2">
      <c r="A155" s="5">
        <f t="shared" si="21"/>
        <v>32</v>
      </c>
      <c r="B155" s="173" t="s">
        <v>116</v>
      </c>
      <c r="C155" s="197"/>
      <c r="D155" s="177"/>
      <c r="E155" s="177">
        <f t="shared" si="20"/>
        <v>0</v>
      </c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</row>
    <row r="156" spans="1:17" hidden="1" x14ac:dyDescent="0.2">
      <c r="A156" s="5">
        <f t="shared" si="21"/>
        <v>33</v>
      </c>
      <c r="B156" s="173" t="s">
        <v>116</v>
      </c>
      <c r="C156" s="197"/>
      <c r="D156" s="177"/>
      <c r="E156" s="177">
        <f t="shared" ref="E156:E183" si="22">SUM(F156:Q156)</f>
        <v>0</v>
      </c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</row>
    <row r="157" spans="1:17" hidden="1" x14ac:dyDescent="0.2">
      <c r="A157" s="5">
        <f t="shared" ref="A157:A183" si="23">A156+1</f>
        <v>34</v>
      </c>
      <c r="B157" s="173" t="s">
        <v>116</v>
      </c>
      <c r="C157" s="197"/>
      <c r="D157" s="177"/>
      <c r="E157" s="177">
        <f t="shared" si="22"/>
        <v>0</v>
      </c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</row>
    <row r="158" spans="1:17" hidden="1" x14ac:dyDescent="0.2">
      <c r="A158" s="5">
        <f t="shared" si="23"/>
        <v>35</v>
      </c>
      <c r="B158" s="173" t="s">
        <v>116</v>
      </c>
      <c r="C158" s="197"/>
      <c r="D158" s="177"/>
      <c r="E158" s="177">
        <f t="shared" si="22"/>
        <v>0</v>
      </c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</row>
    <row r="159" spans="1:17" hidden="1" x14ac:dyDescent="0.2">
      <c r="A159" s="5">
        <f t="shared" si="23"/>
        <v>36</v>
      </c>
      <c r="B159" s="173" t="s">
        <v>116</v>
      </c>
      <c r="C159" s="197"/>
      <c r="D159" s="177"/>
      <c r="E159" s="177">
        <f t="shared" si="22"/>
        <v>0</v>
      </c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</row>
    <row r="160" spans="1:17" hidden="1" x14ac:dyDescent="0.2">
      <c r="A160" s="5">
        <f t="shared" si="23"/>
        <v>37</v>
      </c>
      <c r="B160" s="173" t="s">
        <v>116</v>
      </c>
      <c r="C160" s="197"/>
      <c r="D160" s="177"/>
      <c r="E160" s="177">
        <f t="shared" si="22"/>
        <v>0</v>
      </c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</row>
    <row r="161" spans="1:17" hidden="1" x14ac:dyDescent="0.2">
      <c r="A161" s="5">
        <f t="shared" si="23"/>
        <v>38</v>
      </c>
      <c r="B161" s="173" t="s">
        <v>116</v>
      </c>
      <c r="C161" s="197"/>
      <c r="D161" s="177"/>
      <c r="E161" s="177">
        <f t="shared" si="22"/>
        <v>0</v>
      </c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</row>
    <row r="162" spans="1:17" hidden="1" x14ac:dyDescent="0.2">
      <c r="A162" s="5">
        <f t="shared" si="23"/>
        <v>39</v>
      </c>
      <c r="B162" s="173" t="s">
        <v>116</v>
      </c>
      <c r="C162" s="197"/>
      <c r="D162" s="177"/>
      <c r="E162" s="177">
        <f t="shared" si="22"/>
        <v>0</v>
      </c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</row>
    <row r="163" spans="1:17" hidden="1" x14ac:dyDescent="0.2">
      <c r="A163" s="5">
        <f t="shared" si="23"/>
        <v>40</v>
      </c>
      <c r="B163" s="173" t="s">
        <v>116</v>
      </c>
      <c r="C163" s="197"/>
      <c r="D163" s="177"/>
      <c r="E163" s="177">
        <f t="shared" si="22"/>
        <v>0</v>
      </c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</row>
    <row r="164" spans="1:17" hidden="1" x14ac:dyDescent="0.2">
      <c r="A164" s="5">
        <f t="shared" si="23"/>
        <v>41</v>
      </c>
      <c r="B164" s="173" t="s">
        <v>116</v>
      </c>
      <c r="C164" s="197"/>
      <c r="D164" s="177"/>
      <c r="E164" s="177">
        <f t="shared" si="22"/>
        <v>0</v>
      </c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</row>
    <row r="165" spans="1:17" hidden="1" x14ac:dyDescent="0.2">
      <c r="A165" s="5">
        <f t="shared" si="23"/>
        <v>42</v>
      </c>
      <c r="B165" s="173" t="s">
        <v>116</v>
      </c>
      <c r="C165" s="197"/>
      <c r="D165" s="177"/>
      <c r="E165" s="177">
        <f t="shared" si="22"/>
        <v>0</v>
      </c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</row>
    <row r="166" spans="1:17" hidden="1" x14ac:dyDescent="0.2">
      <c r="A166" s="5">
        <f t="shared" si="23"/>
        <v>43</v>
      </c>
      <c r="B166" s="173" t="s">
        <v>116</v>
      </c>
      <c r="C166" s="197"/>
      <c r="D166" s="177"/>
      <c r="E166" s="177">
        <f t="shared" si="22"/>
        <v>0</v>
      </c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</row>
    <row r="167" spans="1:17" hidden="1" x14ac:dyDescent="0.2">
      <c r="A167" s="5">
        <f t="shared" si="23"/>
        <v>44</v>
      </c>
      <c r="B167" s="173" t="s">
        <v>116</v>
      </c>
      <c r="C167" s="197"/>
      <c r="D167" s="177"/>
      <c r="E167" s="177">
        <f t="shared" si="22"/>
        <v>0</v>
      </c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</row>
    <row r="168" spans="1:17" hidden="1" x14ac:dyDescent="0.2">
      <c r="A168" s="5">
        <f t="shared" si="23"/>
        <v>45</v>
      </c>
      <c r="B168" s="173" t="s">
        <v>116</v>
      </c>
      <c r="C168" s="197"/>
      <c r="D168" s="177"/>
      <c r="E168" s="177">
        <f t="shared" si="22"/>
        <v>0</v>
      </c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</row>
    <row r="169" spans="1:17" hidden="1" x14ac:dyDescent="0.2">
      <c r="A169" s="5">
        <f t="shared" si="23"/>
        <v>46</v>
      </c>
      <c r="B169" s="173" t="s">
        <v>116</v>
      </c>
      <c r="C169" s="197"/>
      <c r="D169" s="177"/>
      <c r="E169" s="177">
        <f t="shared" si="22"/>
        <v>0</v>
      </c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</row>
    <row r="170" spans="1:17" hidden="1" x14ac:dyDescent="0.2">
      <c r="A170" s="5">
        <f t="shared" si="23"/>
        <v>47</v>
      </c>
      <c r="B170" s="173" t="s">
        <v>116</v>
      </c>
      <c r="C170" s="197"/>
      <c r="D170" s="177"/>
      <c r="E170" s="177">
        <f t="shared" si="22"/>
        <v>0</v>
      </c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</row>
    <row r="171" spans="1:17" hidden="1" x14ac:dyDescent="0.2">
      <c r="A171" s="5">
        <f t="shared" si="23"/>
        <v>48</v>
      </c>
      <c r="B171" s="173" t="s">
        <v>116</v>
      </c>
      <c r="C171" s="197"/>
      <c r="D171" s="177"/>
      <c r="E171" s="177">
        <f t="shared" si="22"/>
        <v>0</v>
      </c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</row>
    <row r="172" spans="1:17" hidden="1" x14ac:dyDescent="0.2">
      <c r="A172" s="5">
        <f t="shared" si="23"/>
        <v>49</v>
      </c>
      <c r="B172" s="173" t="s">
        <v>116</v>
      </c>
      <c r="C172" s="197"/>
      <c r="D172" s="177"/>
      <c r="E172" s="177">
        <f t="shared" si="22"/>
        <v>0</v>
      </c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</row>
    <row r="173" spans="1:17" hidden="1" x14ac:dyDescent="0.2">
      <c r="A173" s="5">
        <f t="shared" si="23"/>
        <v>50</v>
      </c>
      <c r="B173" s="173" t="s">
        <v>116</v>
      </c>
      <c r="C173" s="197"/>
      <c r="D173" s="177"/>
      <c r="E173" s="177">
        <f t="shared" si="22"/>
        <v>0</v>
      </c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</row>
    <row r="174" spans="1:17" hidden="1" x14ac:dyDescent="0.2">
      <c r="A174" s="5">
        <f t="shared" si="23"/>
        <v>51</v>
      </c>
      <c r="B174" s="173" t="s">
        <v>116</v>
      </c>
      <c r="C174" s="197"/>
      <c r="D174" s="177"/>
      <c r="E174" s="177">
        <f t="shared" si="22"/>
        <v>0</v>
      </c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</row>
    <row r="175" spans="1:17" hidden="1" x14ac:dyDescent="0.2">
      <c r="A175" s="5">
        <f t="shared" si="23"/>
        <v>52</v>
      </c>
      <c r="B175" s="173" t="s">
        <v>116</v>
      </c>
      <c r="C175" s="197"/>
      <c r="D175" s="177"/>
      <c r="E175" s="177">
        <f t="shared" si="22"/>
        <v>0</v>
      </c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</row>
    <row r="176" spans="1:17" hidden="1" x14ac:dyDescent="0.2">
      <c r="A176" s="5">
        <f t="shared" si="23"/>
        <v>53</v>
      </c>
      <c r="B176" s="173" t="s">
        <v>116</v>
      </c>
      <c r="C176" s="197"/>
      <c r="D176" s="177"/>
      <c r="E176" s="177">
        <f t="shared" si="22"/>
        <v>0</v>
      </c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</row>
    <row r="177" spans="1:18" hidden="1" x14ac:dyDescent="0.2">
      <c r="A177" s="5">
        <f t="shared" si="23"/>
        <v>54</v>
      </c>
      <c r="B177" s="173" t="s">
        <v>116</v>
      </c>
      <c r="C177" s="197"/>
      <c r="D177" s="177"/>
      <c r="E177" s="177">
        <f t="shared" si="22"/>
        <v>0</v>
      </c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</row>
    <row r="178" spans="1:18" hidden="1" x14ac:dyDescent="0.2">
      <c r="A178" s="5">
        <f t="shared" si="23"/>
        <v>55</v>
      </c>
      <c r="B178" s="173" t="s">
        <v>116</v>
      </c>
      <c r="C178" s="197"/>
      <c r="D178" s="177"/>
      <c r="E178" s="177">
        <f t="shared" si="22"/>
        <v>0</v>
      </c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</row>
    <row r="179" spans="1:18" hidden="1" x14ac:dyDescent="0.2">
      <c r="A179" s="5">
        <f t="shared" si="23"/>
        <v>56</v>
      </c>
      <c r="B179" s="173" t="s">
        <v>116</v>
      </c>
      <c r="C179" s="197"/>
      <c r="D179" s="177"/>
      <c r="E179" s="177">
        <f t="shared" si="22"/>
        <v>0</v>
      </c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</row>
    <row r="180" spans="1:18" hidden="1" x14ac:dyDescent="0.2">
      <c r="A180" s="5">
        <f t="shared" si="23"/>
        <v>57</v>
      </c>
      <c r="B180" s="173" t="s">
        <v>116</v>
      </c>
      <c r="C180" s="197"/>
      <c r="D180" s="177"/>
      <c r="E180" s="177">
        <f t="shared" si="22"/>
        <v>0</v>
      </c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</row>
    <row r="181" spans="1:18" hidden="1" x14ac:dyDescent="0.2">
      <c r="A181" s="5">
        <f t="shared" si="23"/>
        <v>58</v>
      </c>
      <c r="B181" s="173" t="s">
        <v>116</v>
      </c>
      <c r="C181" s="197"/>
      <c r="D181" s="177"/>
      <c r="E181" s="177">
        <f t="shared" si="22"/>
        <v>0</v>
      </c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</row>
    <row r="182" spans="1:18" ht="18.75" customHeight="1" x14ac:dyDescent="0.2">
      <c r="A182" s="5">
        <f t="shared" si="23"/>
        <v>59</v>
      </c>
      <c r="B182" s="173" t="s">
        <v>116</v>
      </c>
      <c r="C182" s="274" t="s">
        <v>299</v>
      </c>
      <c r="D182" s="177"/>
      <c r="E182" s="188">
        <f t="shared" si="22"/>
        <v>5880</v>
      </c>
      <c r="F182" s="188">
        <v>490</v>
      </c>
      <c r="G182" s="188">
        <v>490</v>
      </c>
      <c r="H182" s="188">
        <v>490</v>
      </c>
      <c r="I182" s="188">
        <v>490</v>
      </c>
      <c r="J182" s="188">
        <v>490</v>
      </c>
      <c r="K182" s="188">
        <v>490</v>
      </c>
      <c r="L182" s="188">
        <v>490</v>
      </c>
      <c r="M182" s="188">
        <v>490</v>
      </c>
      <c r="N182" s="188">
        <v>490</v>
      </c>
      <c r="O182" s="188">
        <v>490</v>
      </c>
      <c r="P182" s="188">
        <v>490</v>
      </c>
      <c r="Q182" s="188">
        <v>490</v>
      </c>
    </row>
    <row r="183" spans="1:18" ht="17.25" hidden="1" customHeight="1" x14ac:dyDescent="0.2">
      <c r="A183" s="5">
        <f t="shared" si="23"/>
        <v>60</v>
      </c>
      <c r="B183" s="173" t="s">
        <v>116</v>
      </c>
      <c r="C183" s="274"/>
      <c r="D183" s="177"/>
      <c r="E183" s="177">
        <f t="shared" si="22"/>
        <v>0</v>
      </c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1:18" ht="18.75" x14ac:dyDescent="0.2">
      <c r="B184" s="173"/>
      <c r="C184" s="238" t="s">
        <v>28</v>
      </c>
      <c r="D184" s="175"/>
      <c r="E184" s="190">
        <f t="shared" ref="E184:L184" si="24">SUM(E185:E195)</f>
        <v>9626915</v>
      </c>
      <c r="F184" s="175">
        <f t="shared" si="24"/>
        <v>773745</v>
      </c>
      <c r="G184" s="175">
        <f t="shared" si="24"/>
        <v>768745</v>
      </c>
      <c r="H184" s="175">
        <f t="shared" si="24"/>
        <v>768945</v>
      </c>
      <c r="I184" s="175">
        <f t="shared" si="24"/>
        <v>961440</v>
      </c>
      <c r="J184" s="175">
        <f t="shared" si="24"/>
        <v>768945</v>
      </c>
      <c r="K184" s="175">
        <f t="shared" si="24"/>
        <v>768945</v>
      </c>
      <c r="L184" s="175">
        <f t="shared" si="24"/>
        <v>768945</v>
      </c>
      <c r="M184" s="175">
        <f t="shared" ref="M184" si="25">SUM(M185:M195)</f>
        <v>961440</v>
      </c>
      <c r="N184" s="175">
        <f>SUM(N185:N195)</f>
        <v>768945</v>
      </c>
      <c r="O184" s="175">
        <f>SUM(O185:O195)</f>
        <v>768945</v>
      </c>
      <c r="P184" s="175">
        <f>SUM(P185:P195)</f>
        <v>773945</v>
      </c>
      <c r="Q184" s="175">
        <f>SUM(Q185:Q195)</f>
        <v>773930</v>
      </c>
    </row>
    <row r="185" spans="1:18" ht="14.25" x14ac:dyDescent="0.2">
      <c r="A185" s="5">
        <v>1</v>
      </c>
      <c r="B185" s="173" t="s">
        <v>82</v>
      </c>
      <c r="C185" s="233" t="s">
        <v>106</v>
      </c>
      <c r="D185" s="177"/>
      <c r="E185" s="177">
        <f>SUM(F185:Q185)</f>
        <v>6978993</v>
      </c>
      <c r="F185" s="189">
        <v>555150</v>
      </c>
      <c r="G185" s="189">
        <v>555150</v>
      </c>
      <c r="H185" s="189">
        <v>555150</v>
      </c>
      <c r="I185" s="189">
        <v>713750</v>
      </c>
      <c r="J185" s="189">
        <v>555150</v>
      </c>
      <c r="K185" s="189">
        <v>555150</v>
      </c>
      <c r="L185" s="189">
        <v>555150</v>
      </c>
      <c r="M185" s="189">
        <v>713750</v>
      </c>
      <c r="N185" s="189">
        <v>555150</v>
      </c>
      <c r="O185" s="189">
        <v>555150</v>
      </c>
      <c r="P185" s="189">
        <v>555150</v>
      </c>
      <c r="Q185" s="189">
        <v>555143</v>
      </c>
      <c r="R185" s="5" t="s">
        <v>84</v>
      </c>
    </row>
    <row r="186" spans="1:18" ht="14.25" x14ac:dyDescent="0.2">
      <c r="A186" s="5">
        <f t="shared" ref="A186:A193" si="26">A185+1</f>
        <v>2</v>
      </c>
      <c r="B186" s="173" t="s">
        <v>82</v>
      </c>
      <c r="C186" s="233" t="s">
        <v>105</v>
      </c>
      <c r="D186" s="177"/>
      <c r="E186" s="177">
        <f>SUM(F186:Q186)</f>
        <v>1491522</v>
      </c>
      <c r="F186" s="189">
        <v>118645</v>
      </c>
      <c r="G186" s="189">
        <v>118645</v>
      </c>
      <c r="H186" s="189">
        <v>118645</v>
      </c>
      <c r="I186" s="189">
        <v>152540</v>
      </c>
      <c r="J186" s="189">
        <v>118645</v>
      </c>
      <c r="K186" s="189">
        <v>118645</v>
      </c>
      <c r="L186" s="189">
        <v>118645</v>
      </c>
      <c r="M186" s="189">
        <v>152540</v>
      </c>
      <c r="N186" s="189">
        <v>118645</v>
      </c>
      <c r="O186" s="189">
        <v>118645</v>
      </c>
      <c r="P186" s="189">
        <v>118645</v>
      </c>
      <c r="Q186" s="189">
        <v>118637</v>
      </c>
      <c r="R186" s="5" t="s">
        <v>83</v>
      </c>
    </row>
    <row r="187" spans="1:18" ht="14.25" x14ac:dyDescent="0.2">
      <c r="A187" s="5">
        <f t="shared" si="26"/>
        <v>3</v>
      </c>
      <c r="B187" s="173" t="s">
        <v>82</v>
      </c>
      <c r="C187" s="232" t="s">
        <v>113</v>
      </c>
      <c r="D187" s="188"/>
      <c r="E187" s="188">
        <f t="shared" ref="E187:E195" si="27">SUM(F187:Q187)</f>
        <v>66000</v>
      </c>
      <c r="F187" s="188">
        <v>5500</v>
      </c>
      <c r="G187" s="188">
        <v>5500</v>
      </c>
      <c r="H187" s="188">
        <v>5500</v>
      </c>
      <c r="I187" s="188">
        <v>5500</v>
      </c>
      <c r="J187" s="188">
        <v>5500</v>
      </c>
      <c r="K187" s="188">
        <v>5500</v>
      </c>
      <c r="L187" s="188">
        <v>5500</v>
      </c>
      <c r="M187" s="188">
        <v>5500</v>
      </c>
      <c r="N187" s="188">
        <v>5500</v>
      </c>
      <c r="O187" s="188">
        <v>5500</v>
      </c>
      <c r="P187" s="188">
        <v>5500</v>
      </c>
      <c r="Q187" s="188">
        <v>5500</v>
      </c>
      <c r="R187" s="5" t="s">
        <v>82</v>
      </c>
    </row>
    <row r="188" spans="1:18" ht="28.5" x14ac:dyDescent="0.2">
      <c r="A188" s="5">
        <f t="shared" si="26"/>
        <v>4</v>
      </c>
      <c r="B188" s="173" t="s">
        <v>82</v>
      </c>
      <c r="C188" s="232" t="s">
        <v>112</v>
      </c>
      <c r="D188" s="188"/>
      <c r="E188" s="188">
        <f t="shared" si="27"/>
        <v>735000</v>
      </c>
      <c r="F188" s="188">
        <v>65000</v>
      </c>
      <c r="G188" s="188">
        <v>60000</v>
      </c>
      <c r="H188" s="188">
        <v>60000</v>
      </c>
      <c r="I188" s="188">
        <v>60000</v>
      </c>
      <c r="J188" s="188">
        <v>60000</v>
      </c>
      <c r="K188" s="188">
        <v>60000</v>
      </c>
      <c r="L188" s="188">
        <v>60000</v>
      </c>
      <c r="M188" s="188">
        <v>60000</v>
      </c>
      <c r="N188" s="188">
        <v>60000</v>
      </c>
      <c r="O188" s="188">
        <v>60000</v>
      </c>
      <c r="P188" s="188">
        <v>65000</v>
      </c>
      <c r="Q188" s="188">
        <v>65000</v>
      </c>
      <c r="R188" s="5" t="s">
        <v>87</v>
      </c>
    </row>
    <row r="189" spans="1:18" ht="28.5" x14ac:dyDescent="0.2">
      <c r="A189" s="5">
        <f t="shared" si="26"/>
        <v>5</v>
      </c>
      <c r="B189" s="173" t="s">
        <v>82</v>
      </c>
      <c r="C189" s="232" t="s">
        <v>111</v>
      </c>
      <c r="D189" s="188"/>
      <c r="E189" s="188">
        <f t="shared" si="27"/>
        <v>144000</v>
      </c>
      <c r="F189" s="188">
        <v>12000</v>
      </c>
      <c r="G189" s="188">
        <v>12000</v>
      </c>
      <c r="H189" s="188">
        <v>12000</v>
      </c>
      <c r="I189" s="188">
        <v>12000</v>
      </c>
      <c r="J189" s="188">
        <v>12000</v>
      </c>
      <c r="K189" s="188">
        <v>12000</v>
      </c>
      <c r="L189" s="188">
        <v>12000</v>
      </c>
      <c r="M189" s="188">
        <v>12000</v>
      </c>
      <c r="N189" s="188">
        <v>12000</v>
      </c>
      <c r="O189" s="188">
        <v>12000</v>
      </c>
      <c r="P189" s="188">
        <v>12000</v>
      </c>
      <c r="Q189" s="188">
        <v>12000</v>
      </c>
      <c r="R189" s="5" t="s">
        <v>89</v>
      </c>
    </row>
    <row r="190" spans="1:18" ht="28.5" customHeight="1" x14ac:dyDescent="0.2">
      <c r="A190" s="5">
        <f t="shared" si="26"/>
        <v>6</v>
      </c>
      <c r="B190" s="173" t="s">
        <v>82</v>
      </c>
      <c r="C190" s="232" t="s">
        <v>110</v>
      </c>
      <c r="D190" s="188"/>
      <c r="E190" s="188">
        <f t="shared" si="27"/>
        <v>48000</v>
      </c>
      <c r="F190" s="188">
        <v>4000</v>
      </c>
      <c r="G190" s="188">
        <v>4000</v>
      </c>
      <c r="H190" s="188">
        <v>4000</v>
      </c>
      <c r="I190" s="188">
        <v>4000</v>
      </c>
      <c r="J190" s="188">
        <v>4000</v>
      </c>
      <c r="K190" s="188">
        <v>4000</v>
      </c>
      <c r="L190" s="188">
        <v>4000</v>
      </c>
      <c r="M190" s="188">
        <v>4000</v>
      </c>
      <c r="N190" s="188">
        <v>4000</v>
      </c>
      <c r="O190" s="188">
        <v>4000</v>
      </c>
      <c r="P190" s="188">
        <v>4000</v>
      </c>
      <c r="Q190" s="188">
        <v>4000</v>
      </c>
      <c r="R190" s="5" t="s">
        <v>86</v>
      </c>
    </row>
    <row r="191" spans="1:18" ht="57" x14ac:dyDescent="0.2">
      <c r="A191" s="5">
        <f t="shared" si="26"/>
        <v>7</v>
      </c>
      <c r="B191" s="173" t="s">
        <v>82</v>
      </c>
      <c r="C191" s="232" t="s">
        <v>290</v>
      </c>
      <c r="D191" s="188"/>
      <c r="E191" s="188">
        <f t="shared" si="27"/>
        <v>110000</v>
      </c>
      <c r="F191" s="188">
        <v>9000</v>
      </c>
      <c r="G191" s="188">
        <v>9000</v>
      </c>
      <c r="H191" s="188">
        <v>9200</v>
      </c>
      <c r="I191" s="188">
        <v>9200</v>
      </c>
      <c r="J191" s="188">
        <v>9200</v>
      </c>
      <c r="K191" s="188">
        <v>9200</v>
      </c>
      <c r="L191" s="188">
        <v>9200</v>
      </c>
      <c r="M191" s="188">
        <v>9200</v>
      </c>
      <c r="N191" s="188">
        <v>9200</v>
      </c>
      <c r="O191" s="188">
        <v>9200</v>
      </c>
      <c r="P191" s="188">
        <v>9200</v>
      </c>
      <c r="Q191" s="188">
        <v>9200</v>
      </c>
      <c r="R191" s="5" t="s">
        <v>86</v>
      </c>
    </row>
    <row r="192" spans="1:18" ht="14.25" x14ac:dyDescent="0.2">
      <c r="A192" s="5">
        <f t="shared" si="26"/>
        <v>8</v>
      </c>
      <c r="B192" s="173" t="s">
        <v>82</v>
      </c>
      <c r="C192" s="232" t="s">
        <v>53</v>
      </c>
      <c r="D192" s="188"/>
      <c r="E192" s="188">
        <f t="shared" si="27"/>
        <v>14400</v>
      </c>
      <c r="F192" s="188">
        <v>1200</v>
      </c>
      <c r="G192" s="188">
        <v>1200</v>
      </c>
      <c r="H192" s="188">
        <v>1200</v>
      </c>
      <c r="I192" s="188">
        <v>1200</v>
      </c>
      <c r="J192" s="188">
        <v>1200</v>
      </c>
      <c r="K192" s="188">
        <v>1200</v>
      </c>
      <c r="L192" s="188">
        <v>1200</v>
      </c>
      <c r="M192" s="188">
        <v>1200</v>
      </c>
      <c r="N192" s="188">
        <v>1200</v>
      </c>
      <c r="O192" s="188">
        <v>1200</v>
      </c>
      <c r="P192" s="188">
        <v>1200</v>
      </c>
      <c r="Q192" s="188">
        <v>1200</v>
      </c>
      <c r="R192" s="5" t="s">
        <v>86</v>
      </c>
    </row>
    <row r="193" spans="1:18" ht="14.25" x14ac:dyDescent="0.2">
      <c r="A193" s="5">
        <f t="shared" si="26"/>
        <v>9</v>
      </c>
      <c r="B193" s="173" t="s">
        <v>82</v>
      </c>
      <c r="C193" s="232" t="s">
        <v>109</v>
      </c>
      <c r="D193" s="188"/>
      <c r="E193" s="188">
        <f t="shared" si="27"/>
        <v>30000</v>
      </c>
      <c r="F193" s="188">
        <v>2500</v>
      </c>
      <c r="G193" s="188">
        <v>2500</v>
      </c>
      <c r="H193" s="188">
        <v>2500</v>
      </c>
      <c r="I193" s="188">
        <v>2500</v>
      </c>
      <c r="J193" s="188">
        <v>2500</v>
      </c>
      <c r="K193" s="188">
        <v>2500</v>
      </c>
      <c r="L193" s="188">
        <v>2500</v>
      </c>
      <c r="M193" s="188">
        <v>2500</v>
      </c>
      <c r="N193" s="188">
        <v>2500</v>
      </c>
      <c r="O193" s="188">
        <v>2500</v>
      </c>
      <c r="P193" s="188">
        <v>2500</v>
      </c>
      <c r="Q193" s="188">
        <v>2500</v>
      </c>
      <c r="R193" s="5" t="s">
        <v>86</v>
      </c>
    </row>
    <row r="194" spans="1:18" ht="14.25" x14ac:dyDescent="0.2">
      <c r="B194" s="173" t="s">
        <v>82</v>
      </c>
      <c r="C194" s="232" t="s">
        <v>266</v>
      </c>
      <c r="D194" s="188"/>
      <c r="E194" s="188">
        <f t="shared" si="27"/>
        <v>0</v>
      </c>
      <c r="F194" s="188"/>
      <c r="G194" s="188"/>
      <c r="H194" s="188"/>
      <c r="I194" s="188"/>
      <c r="J194" s="188">
        <v>0</v>
      </c>
      <c r="K194" s="188"/>
      <c r="L194" s="188"/>
      <c r="M194" s="188"/>
      <c r="N194" s="188"/>
      <c r="O194" s="188"/>
      <c r="P194" s="188"/>
      <c r="Q194" s="188"/>
      <c r="R194" s="5" t="s">
        <v>86</v>
      </c>
    </row>
    <row r="195" spans="1:18" ht="28.5" x14ac:dyDescent="0.2">
      <c r="A195" s="5">
        <f>A193+1</f>
        <v>10</v>
      </c>
      <c r="B195" s="173" t="s">
        <v>82</v>
      </c>
      <c r="C195" s="232" t="s">
        <v>108</v>
      </c>
      <c r="D195" s="188"/>
      <c r="E195" s="188">
        <f t="shared" si="27"/>
        <v>9000</v>
      </c>
      <c r="F195" s="188">
        <v>750</v>
      </c>
      <c r="G195" s="188">
        <v>750</v>
      </c>
      <c r="H195" s="188">
        <v>750</v>
      </c>
      <c r="I195" s="188">
        <v>750</v>
      </c>
      <c r="J195" s="188">
        <v>750</v>
      </c>
      <c r="K195" s="188">
        <v>750</v>
      </c>
      <c r="L195" s="188">
        <v>750</v>
      </c>
      <c r="M195" s="188">
        <v>750</v>
      </c>
      <c r="N195" s="188">
        <v>750</v>
      </c>
      <c r="O195" s="188">
        <v>750</v>
      </c>
      <c r="P195" s="188">
        <v>750</v>
      </c>
      <c r="Q195" s="188">
        <v>750</v>
      </c>
      <c r="R195" s="5" t="s">
        <v>86</v>
      </c>
    </row>
    <row r="196" spans="1:18" ht="1.5" hidden="1" customHeight="1" x14ac:dyDescent="0.2">
      <c r="B196" s="173"/>
      <c r="C196" s="194" t="s">
        <v>107</v>
      </c>
      <c r="D196" s="175"/>
      <c r="E196" s="175" t="e">
        <f t="shared" ref="E196:Q196" si="28">SUM(E197:E256)</f>
        <v>#VALUE!</v>
      </c>
      <c r="F196" s="175" t="e">
        <f t="shared" si="28"/>
        <v>#VALUE!</v>
      </c>
      <c r="G196" s="175" t="e">
        <f t="shared" si="28"/>
        <v>#VALUE!</v>
      </c>
      <c r="H196" s="175" t="e">
        <f t="shared" si="28"/>
        <v>#VALUE!</v>
      </c>
      <c r="I196" s="175" t="e">
        <f t="shared" si="28"/>
        <v>#VALUE!</v>
      </c>
      <c r="J196" s="175" t="e">
        <f t="shared" si="28"/>
        <v>#VALUE!</v>
      </c>
      <c r="K196" s="175" t="e">
        <f t="shared" si="28"/>
        <v>#VALUE!</v>
      </c>
      <c r="L196" s="175" t="e">
        <f t="shared" si="28"/>
        <v>#VALUE!</v>
      </c>
      <c r="M196" s="175" t="e">
        <f t="shared" si="28"/>
        <v>#VALUE!</v>
      </c>
      <c r="N196" s="175" t="e">
        <f t="shared" si="28"/>
        <v>#VALUE!</v>
      </c>
      <c r="O196" s="175" t="e">
        <f t="shared" si="28"/>
        <v>#VALUE!</v>
      </c>
      <c r="P196" s="175" t="e">
        <f t="shared" si="28"/>
        <v>#VALUE!</v>
      </c>
      <c r="Q196" s="175" t="e">
        <f t="shared" si="28"/>
        <v>#VALUE!</v>
      </c>
    </row>
    <row r="197" spans="1:18" hidden="1" x14ac:dyDescent="0.2">
      <c r="A197" s="5">
        <v>1</v>
      </c>
      <c r="B197" s="173" t="s">
        <v>104</v>
      </c>
      <c r="C197" s="195" t="s">
        <v>106</v>
      </c>
      <c r="D197" s="177"/>
      <c r="E197" s="177" t="e">
        <f t="shared" ref="E197:E228" si="29">SUM(F197:Q197)</f>
        <v>#VALUE!</v>
      </c>
      <c r="F197" s="196" t="e">
        <f>SUMIF('[1]План ЗП'!$A$8:$A$1071,'План витрат'!$B197,'[1]План ЗП'!DH$8:DH$1071)</f>
        <v>#VALUE!</v>
      </c>
      <c r="G197" s="196" t="e">
        <f>SUMIF('[1]План ЗП'!$A$8:$A$1071,'План витрат'!$B197,'[1]План ЗП'!DI$8:DI$1071)</f>
        <v>#VALUE!</v>
      </c>
      <c r="H197" s="196" t="e">
        <f>SUMIF('[1]План ЗП'!$A$8:$A$1071,'План витрат'!$B197,'[1]План ЗП'!DJ$8:DJ$1071)</f>
        <v>#VALUE!</v>
      </c>
      <c r="I197" s="196" t="e">
        <f>SUMIF('[1]План ЗП'!$A$8:$A$1071,'План витрат'!$B197,'[1]План ЗП'!DK$8:DK$1071)</f>
        <v>#VALUE!</v>
      </c>
      <c r="J197" s="196" t="e">
        <f>SUMIF('[1]План ЗП'!$A$8:$A$1071,'План витрат'!$B197,'[1]План ЗП'!DL$8:DL$1071)</f>
        <v>#VALUE!</v>
      </c>
      <c r="K197" s="196" t="e">
        <f>SUMIF('[1]План ЗП'!$A$8:$A$1071,'План витрат'!$B197,'[1]План ЗП'!DM$8:DM$1071)</f>
        <v>#VALUE!</v>
      </c>
      <c r="L197" s="196" t="e">
        <f>SUMIF('[1]План ЗП'!$A$8:$A$1071,'План витрат'!$B197,'[1]План ЗП'!DN$8:DN$1071)</f>
        <v>#VALUE!</v>
      </c>
      <c r="M197" s="196" t="e">
        <f>SUMIF('[1]План ЗП'!$A$8:$A$1071,'План витрат'!$B197,'[1]План ЗП'!DO$8:DO$1071)</f>
        <v>#VALUE!</v>
      </c>
      <c r="N197" s="196" t="e">
        <f>SUMIF('[1]План ЗП'!$A$8:$A$1071,'План витрат'!$B197,'[1]План ЗП'!DP$8:DP$1071)</f>
        <v>#VALUE!</v>
      </c>
      <c r="O197" s="196" t="e">
        <f>SUMIF('[1]План ЗП'!$A$8:$A$1071,'План витрат'!$B197,'[1]План ЗП'!DQ$8:DQ$1071)</f>
        <v>#VALUE!</v>
      </c>
      <c r="P197" s="196" t="e">
        <f>SUMIF('[1]План ЗП'!$A$8:$A$1071,'План витрат'!$B197,'[1]План ЗП'!DR$8:DR$1071)</f>
        <v>#VALUE!</v>
      </c>
      <c r="Q197" s="196" t="e">
        <f>SUMIF('[1]План ЗП'!$A$8:$A$1071,'План витрат'!$B197,'[1]План ЗП'!DS$8:DS$1071)</f>
        <v>#VALUE!</v>
      </c>
      <c r="R197" s="5" t="s">
        <v>84</v>
      </c>
    </row>
    <row r="198" spans="1:18" hidden="1" x14ac:dyDescent="0.2">
      <c r="A198" s="5">
        <f t="shared" ref="A198:A229" si="30">A197+1</f>
        <v>2</v>
      </c>
      <c r="B198" s="173" t="s">
        <v>104</v>
      </c>
      <c r="C198" s="195" t="s">
        <v>105</v>
      </c>
      <c r="D198" s="177"/>
      <c r="E198" s="177" t="e">
        <f t="shared" si="29"/>
        <v>#VALUE!</v>
      </c>
      <c r="F198" s="196" t="e">
        <f>SUMIF('[1]План ЗП'!$A$8:$A$1071,'План витрат'!$B198,'[1]План ЗП'!DU$8:DU$1071)</f>
        <v>#VALUE!</v>
      </c>
      <c r="G198" s="196" t="e">
        <f>SUMIF('[1]План ЗП'!$A$8:$A$1071,'План витрат'!$B198,'[1]План ЗП'!DV$8:DV$1071)</f>
        <v>#VALUE!</v>
      </c>
      <c r="H198" s="196" t="e">
        <f>SUMIF('[1]План ЗП'!$A$8:$A$1071,'План витрат'!$B198,'[1]План ЗП'!DW$8:DW$1071)</f>
        <v>#VALUE!</v>
      </c>
      <c r="I198" s="196" t="e">
        <f>SUMIF('[1]План ЗП'!$A$8:$A$1071,'План витрат'!$B198,'[1]План ЗП'!DX$8:DX$1071)</f>
        <v>#VALUE!</v>
      </c>
      <c r="J198" s="196" t="e">
        <f>SUMIF('[1]План ЗП'!$A$8:$A$1071,'План витрат'!$B198,'[1]План ЗП'!DY$8:DY$1071)</f>
        <v>#VALUE!</v>
      </c>
      <c r="K198" s="196" t="e">
        <f>SUMIF('[1]План ЗП'!$A$8:$A$1071,'План витрат'!$B198,'[1]План ЗП'!DZ$8:DZ$1071)</f>
        <v>#VALUE!</v>
      </c>
      <c r="L198" s="196" t="e">
        <f>SUMIF('[1]План ЗП'!$A$8:$A$1071,'План витрат'!$B198,'[1]План ЗП'!EA$8:EA$1071)</f>
        <v>#VALUE!</v>
      </c>
      <c r="M198" s="196" t="e">
        <f>SUMIF('[1]План ЗП'!$A$8:$A$1071,'План витрат'!$B198,'[1]План ЗП'!EB$8:EB$1071)</f>
        <v>#VALUE!</v>
      </c>
      <c r="N198" s="196" t="e">
        <f>SUMIF('[1]План ЗП'!$A$8:$A$1071,'План витрат'!$B198,'[1]План ЗП'!EC$8:EC$1071)</f>
        <v>#VALUE!</v>
      </c>
      <c r="O198" s="196" t="e">
        <f>SUMIF('[1]План ЗП'!$A$8:$A$1071,'План витрат'!$B198,'[1]План ЗП'!ED$8:ED$1071)</f>
        <v>#VALUE!</v>
      </c>
      <c r="P198" s="196" t="e">
        <f>SUMIF('[1]План ЗП'!$A$8:$A$1071,'План витрат'!$B198,'[1]План ЗП'!EE$8:EE$1071)</f>
        <v>#VALUE!</v>
      </c>
      <c r="Q198" s="196" t="e">
        <f>SUMIF('[1]План ЗП'!$A$8:$A$1071,'План витрат'!$B198,'[1]План ЗП'!EF$8:EF$1071)</f>
        <v>#VALUE!</v>
      </c>
      <c r="R198" s="5" t="s">
        <v>83</v>
      </c>
    </row>
    <row r="199" spans="1:18" hidden="1" x14ac:dyDescent="0.2">
      <c r="A199" s="5">
        <f t="shared" si="30"/>
        <v>3</v>
      </c>
      <c r="B199" s="173" t="s">
        <v>104</v>
      </c>
      <c r="C199" s="197"/>
      <c r="D199" s="177"/>
      <c r="E199" s="177">
        <f t="shared" si="29"/>
        <v>0</v>
      </c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</row>
    <row r="200" spans="1:18" hidden="1" x14ac:dyDescent="0.2">
      <c r="A200" s="5">
        <f t="shared" si="30"/>
        <v>4</v>
      </c>
      <c r="B200" s="173" t="s">
        <v>104</v>
      </c>
      <c r="C200" s="197"/>
      <c r="D200" s="177"/>
      <c r="E200" s="177">
        <f t="shared" si="29"/>
        <v>0</v>
      </c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</row>
    <row r="201" spans="1:18" hidden="1" x14ac:dyDescent="0.2">
      <c r="A201" s="5">
        <f t="shared" si="30"/>
        <v>5</v>
      </c>
      <c r="B201" s="173" t="s">
        <v>104</v>
      </c>
      <c r="C201" s="197"/>
      <c r="D201" s="177"/>
      <c r="E201" s="177">
        <f t="shared" si="29"/>
        <v>0</v>
      </c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</row>
    <row r="202" spans="1:18" hidden="1" x14ac:dyDescent="0.2">
      <c r="A202" s="5">
        <f t="shared" si="30"/>
        <v>6</v>
      </c>
      <c r="B202" s="173" t="s">
        <v>104</v>
      </c>
      <c r="C202" s="197"/>
      <c r="D202" s="177"/>
      <c r="E202" s="177">
        <f t="shared" si="29"/>
        <v>0</v>
      </c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</row>
    <row r="203" spans="1:18" hidden="1" x14ac:dyDescent="0.2">
      <c r="A203" s="5">
        <f t="shared" si="30"/>
        <v>7</v>
      </c>
      <c r="B203" s="173" t="s">
        <v>104</v>
      </c>
      <c r="C203" s="197"/>
      <c r="D203" s="177"/>
      <c r="E203" s="177">
        <f t="shared" si="29"/>
        <v>0</v>
      </c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</row>
    <row r="204" spans="1:18" hidden="1" x14ac:dyDescent="0.2">
      <c r="A204" s="5">
        <f t="shared" si="30"/>
        <v>8</v>
      </c>
      <c r="B204" s="173" t="s">
        <v>104</v>
      </c>
      <c r="C204" s="197"/>
      <c r="D204" s="177"/>
      <c r="E204" s="177">
        <f t="shared" si="29"/>
        <v>0</v>
      </c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</row>
    <row r="205" spans="1:18" hidden="1" x14ac:dyDescent="0.2">
      <c r="A205" s="5">
        <f t="shared" si="30"/>
        <v>9</v>
      </c>
      <c r="B205" s="173" t="s">
        <v>104</v>
      </c>
      <c r="C205" s="197"/>
      <c r="D205" s="177"/>
      <c r="E205" s="177">
        <f t="shared" si="29"/>
        <v>0</v>
      </c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</row>
    <row r="206" spans="1:18" hidden="1" x14ac:dyDescent="0.2">
      <c r="A206" s="5">
        <f t="shared" si="30"/>
        <v>10</v>
      </c>
      <c r="B206" s="173" t="s">
        <v>104</v>
      </c>
      <c r="C206" s="197"/>
      <c r="D206" s="177"/>
      <c r="E206" s="177">
        <f t="shared" si="29"/>
        <v>0</v>
      </c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</row>
    <row r="207" spans="1:18" hidden="1" x14ac:dyDescent="0.2">
      <c r="A207" s="5">
        <f t="shared" si="30"/>
        <v>11</v>
      </c>
      <c r="B207" s="173" t="s">
        <v>104</v>
      </c>
      <c r="C207" s="197"/>
      <c r="D207" s="177"/>
      <c r="E207" s="177">
        <f t="shared" si="29"/>
        <v>0</v>
      </c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</row>
    <row r="208" spans="1:18" hidden="1" x14ac:dyDescent="0.2">
      <c r="A208" s="5">
        <f t="shared" si="30"/>
        <v>12</v>
      </c>
      <c r="B208" s="173" t="s">
        <v>104</v>
      </c>
      <c r="C208" s="197"/>
      <c r="D208" s="177"/>
      <c r="E208" s="177">
        <f t="shared" si="29"/>
        <v>0</v>
      </c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</row>
    <row r="209" spans="1:17" hidden="1" x14ac:dyDescent="0.2">
      <c r="A209" s="5">
        <f t="shared" si="30"/>
        <v>13</v>
      </c>
      <c r="B209" s="173" t="s">
        <v>104</v>
      </c>
      <c r="C209" s="197"/>
      <c r="D209" s="177"/>
      <c r="E209" s="177">
        <f t="shared" si="29"/>
        <v>0</v>
      </c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</row>
    <row r="210" spans="1:17" ht="3" hidden="1" customHeight="1" x14ac:dyDescent="0.2">
      <c r="A210" s="5">
        <f t="shared" si="30"/>
        <v>14</v>
      </c>
      <c r="B210" s="173" t="s">
        <v>104</v>
      </c>
      <c r="C210" s="197"/>
      <c r="D210" s="177"/>
      <c r="E210" s="177">
        <f t="shared" si="29"/>
        <v>0</v>
      </c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</row>
    <row r="211" spans="1:17" hidden="1" x14ac:dyDescent="0.2">
      <c r="A211" s="5">
        <f t="shared" si="30"/>
        <v>15</v>
      </c>
      <c r="B211" s="173" t="s">
        <v>104</v>
      </c>
      <c r="C211" s="197"/>
      <c r="D211" s="177"/>
      <c r="E211" s="177">
        <f t="shared" si="29"/>
        <v>0</v>
      </c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</row>
    <row r="212" spans="1:17" hidden="1" x14ac:dyDescent="0.2">
      <c r="A212" s="5">
        <f t="shared" si="30"/>
        <v>16</v>
      </c>
      <c r="B212" s="173" t="s">
        <v>104</v>
      </c>
      <c r="C212" s="197"/>
      <c r="D212" s="177"/>
      <c r="E212" s="177">
        <f t="shared" si="29"/>
        <v>0</v>
      </c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</row>
    <row r="213" spans="1:17" hidden="1" x14ac:dyDescent="0.2">
      <c r="A213" s="5">
        <f t="shared" si="30"/>
        <v>17</v>
      </c>
      <c r="B213" s="173" t="s">
        <v>104</v>
      </c>
      <c r="C213" s="197"/>
      <c r="D213" s="177"/>
      <c r="E213" s="177">
        <f t="shared" si="29"/>
        <v>0</v>
      </c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</row>
    <row r="214" spans="1:17" hidden="1" x14ac:dyDescent="0.2">
      <c r="A214" s="5">
        <f t="shared" si="30"/>
        <v>18</v>
      </c>
      <c r="B214" s="173" t="s">
        <v>104</v>
      </c>
      <c r="C214" s="197"/>
      <c r="D214" s="177"/>
      <c r="E214" s="177">
        <f t="shared" si="29"/>
        <v>0</v>
      </c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</row>
    <row r="215" spans="1:17" hidden="1" x14ac:dyDescent="0.2">
      <c r="A215" s="5">
        <f t="shared" si="30"/>
        <v>19</v>
      </c>
      <c r="B215" s="173" t="s">
        <v>104</v>
      </c>
      <c r="C215" s="197"/>
      <c r="D215" s="177"/>
      <c r="E215" s="177">
        <f t="shared" si="29"/>
        <v>0</v>
      </c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</row>
    <row r="216" spans="1:17" hidden="1" x14ac:dyDescent="0.2">
      <c r="A216" s="5">
        <f t="shared" si="30"/>
        <v>20</v>
      </c>
      <c r="B216" s="173" t="s">
        <v>104</v>
      </c>
      <c r="C216" s="197"/>
      <c r="D216" s="177"/>
      <c r="E216" s="177">
        <f t="shared" si="29"/>
        <v>0</v>
      </c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</row>
    <row r="217" spans="1:17" hidden="1" x14ac:dyDescent="0.2">
      <c r="A217" s="5">
        <f t="shared" si="30"/>
        <v>21</v>
      </c>
      <c r="B217" s="173" t="s">
        <v>104</v>
      </c>
      <c r="C217" s="197"/>
      <c r="D217" s="177"/>
      <c r="E217" s="177">
        <f t="shared" si="29"/>
        <v>0</v>
      </c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</row>
    <row r="218" spans="1:17" hidden="1" x14ac:dyDescent="0.2">
      <c r="A218" s="5">
        <f t="shared" si="30"/>
        <v>22</v>
      </c>
      <c r="B218" s="173" t="s">
        <v>104</v>
      </c>
      <c r="C218" s="197"/>
      <c r="D218" s="177"/>
      <c r="E218" s="177">
        <f t="shared" si="29"/>
        <v>0</v>
      </c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</row>
    <row r="219" spans="1:17" hidden="1" x14ac:dyDescent="0.2">
      <c r="A219" s="5">
        <f t="shared" si="30"/>
        <v>23</v>
      </c>
      <c r="B219" s="173" t="s">
        <v>104</v>
      </c>
      <c r="C219" s="197"/>
      <c r="D219" s="177"/>
      <c r="E219" s="177">
        <f t="shared" si="29"/>
        <v>0</v>
      </c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</row>
    <row r="220" spans="1:17" hidden="1" x14ac:dyDescent="0.2">
      <c r="A220" s="5">
        <f t="shared" si="30"/>
        <v>24</v>
      </c>
      <c r="B220" s="173" t="s">
        <v>104</v>
      </c>
      <c r="C220" s="197"/>
      <c r="D220" s="177"/>
      <c r="E220" s="177">
        <f t="shared" si="29"/>
        <v>0</v>
      </c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</row>
    <row r="221" spans="1:17" hidden="1" x14ac:dyDescent="0.2">
      <c r="A221" s="5">
        <f t="shared" si="30"/>
        <v>25</v>
      </c>
      <c r="B221" s="173" t="s">
        <v>104</v>
      </c>
      <c r="C221" s="197"/>
      <c r="D221" s="177"/>
      <c r="E221" s="177">
        <f t="shared" si="29"/>
        <v>0</v>
      </c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</row>
    <row r="222" spans="1:17" hidden="1" x14ac:dyDescent="0.2">
      <c r="A222" s="5">
        <f t="shared" si="30"/>
        <v>26</v>
      </c>
      <c r="B222" s="173" t="s">
        <v>104</v>
      </c>
      <c r="C222" s="197"/>
      <c r="D222" s="177"/>
      <c r="E222" s="177">
        <f t="shared" si="29"/>
        <v>0</v>
      </c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</row>
    <row r="223" spans="1:17" hidden="1" x14ac:dyDescent="0.2">
      <c r="A223" s="5">
        <f t="shared" si="30"/>
        <v>27</v>
      </c>
      <c r="B223" s="173" t="s">
        <v>104</v>
      </c>
      <c r="C223" s="197"/>
      <c r="D223" s="177"/>
      <c r="E223" s="177">
        <f t="shared" si="29"/>
        <v>0</v>
      </c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</row>
    <row r="224" spans="1:17" hidden="1" x14ac:dyDescent="0.2">
      <c r="A224" s="5">
        <f t="shared" si="30"/>
        <v>28</v>
      </c>
      <c r="B224" s="173" t="s">
        <v>104</v>
      </c>
      <c r="C224" s="197"/>
      <c r="D224" s="177"/>
      <c r="E224" s="177">
        <f t="shared" si="29"/>
        <v>0</v>
      </c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</row>
    <row r="225" spans="1:17" hidden="1" x14ac:dyDescent="0.2">
      <c r="A225" s="5">
        <f t="shared" si="30"/>
        <v>29</v>
      </c>
      <c r="B225" s="173" t="s">
        <v>104</v>
      </c>
      <c r="C225" s="197"/>
      <c r="D225" s="177"/>
      <c r="E225" s="177">
        <f t="shared" si="29"/>
        <v>0</v>
      </c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</row>
    <row r="226" spans="1:17" hidden="1" x14ac:dyDescent="0.2">
      <c r="A226" s="5">
        <f t="shared" si="30"/>
        <v>30</v>
      </c>
      <c r="B226" s="173" t="s">
        <v>104</v>
      </c>
      <c r="C226" s="197"/>
      <c r="D226" s="177"/>
      <c r="E226" s="177">
        <f t="shared" si="29"/>
        <v>0</v>
      </c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</row>
    <row r="227" spans="1:17" hidden="1" x14ac:dyDescent="0.2">
      <c r="A227" s="5">
        <f t="shared" si="30"/>
        <v>31</v>
      </c>
      <c r="B227" s="173" t="s">
        <v>104</v>
      </c>
      <c r="C227" s="197"/>
      <c r="D227" s="177"/>
      <c r="E227" s="177">
        <f t="shared" si="29"/>
        <v>0</v>
      </c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</row>
    <row r="228" spans="1:17" hidden="1" x14ac:dyDescent="0.2">
      <c r="A228" s="5">
        <f t="shared" si="30"/>
        <v>32</v>
      </c>
      <c r="B228" s="173" t="s">
        <v>104</v>
      </c>
      <c r="C228" s="197"/>
      <c r="D228" s="177"/>
      <c r="E228" s="177">
        <f t="shared" si="29"/>
        <v>0</v>
      </c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</row>
    <row r="229" spans="1:17" hidden="1" x14ac:dyDescent="0.2">
      <c r="A229" s="5">
        <f t="shared" si="30"/>
        <v>33</v>
      </c>
      <c r="B229" s="173" t="s">
        <v>104</v>
      </c>
      <c r="C229" s="197"/>
      <c r="D229" s="177"/>
      <c r="E229" s="177">
        <f t="shared" ref="E229:E256" si="31">SUM(F229:Q229)</f>
        <v>0</v>
      </c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</row>
    <row r="230" spans="1:17" hidden="1" x14ac:dyDescent="0.2">
      <c r="A230" s="5">
        <f t="shared" ref="A230:A256" si="32">A229+1</f>
        <v>34</v>
      </c>
      <c r="B230" s="173" t="s">
        <v>104</v>
      </c>
      <c r="C230" s="197"/>
      <c r="D230" s="177"/>
      <c r="E230" s="177">
        <f t="shared" si="31"/>
        <v>0</v>
      </c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</row>
    <row r="231" spans="1:17" hidden="1" x14ac:dyDescent="0.2">
      <c r="A231" s="5">
        <f t="shared" si="32"/>
        <v>35</v>
      </c>
      <c r="B231" s="173" t="s">
        <v>104</v>
      </c>
      <c r="C231" s="197"/>
      <c r="D231" s="177"/>
      <c r="E231" s="177">
        <f t="shared" si="31"/>
        <v>0</v>
      </c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</row>
    <row r="232" spans="1:17" hidden="1" x14ac:dyDescent="0.2">
      <c r="A232" s="5">
        <f t="shared" si="32"/>
        <v>36</v>
      </c>
      <c r="B232" s="173" t="s">
        <v>104</v>
      </c>
      <c r="C232" s="197"/>
      <c r="D232" s="177"/>
      <c r="E232" s="177">
        <f t="shared" si="31"/>
        <v>0</v>
      </c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</row>
    <row r="233" spans="1:17" hidden="1" x14ac:dyDescent="0.2">
      <c r="A233" s="5">
        <f t="shared" si="32"/>
        <v>37</v>
      </c>
      <c r="B233" s="173" t="s">
        <v>104</v>
      </c>
      <c r="C233" s="197"/>
      <c r="D233" s="177"/>
      <c r="E233" s="177">
        <f t="shared" si="31"/>
        <v>0</v>
      </c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</row>
    <row r="234" spans="1:17" hidden="1" x14ac:dyDescent="0.2">
      <c r="A234" s="5">
        <f t="shared" si="32"/>
        <v>38</v>
      </c>
      <c r="B234" s="173" t="s">
        <v>104</v>
      </c>
      <c r="C234" s="197"/>
      <c r="D234" s="177"/>
      <c r="E234" s="177">
        <f t="shared" si="31"/>
        <v>0</v>
      </c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</row>
    <row r="235" spans="1:17" hidden="1" x14ac:dyDescent="0.2">
      <c r="A235" s="5">
        <f t="shared" si="32"/>
        <v>39</v>
      </c>
      <c r="B235" s="173" t="s">
        <v>104</v>
      </c>
      <c r="C235" s="197"/>
      <c r="D235" s="177"/>
      <c r="E235" s="177">
        <f t="shared" si="31"/>
        <v>0</v>
      </c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</row>
    <row r="236" spans="1:17" hidden="1" x14ac:dyDescent="0.2">
      <c r="A236" s="5">
        <f t="shared" si="32"/>
        <v>40</v>
      </c>
      <c r="B236" s="173" t="s">
        <v>104</v>
      </c>
      <c r="C236" s="197"/>
      <c r="D236" s="177"/>
      <c r="E236" s="177">
        <f t="shared" si="31"/>
        <v>0</v>
      </c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</row>
    <row r="237" spans="1:17" ht="2.25" hidden="1" customHeight="1" x14ac:dyDescent="0.2">
      <c r="A237" s="5">
        <f t="shared" si="32"/>
        <v>41</v>
      </c>
      <c r="B237" s="173" t="s">
        <v>104</v>
      </c>
      <c r="C237" s="197"/>
      <c r="D237" s="177"/>
      <c r="E237" s="177">
        <f t="shared" si="31"/>
        <v>0</v>
      </c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</row>
    <row r="238" spans="1:17" hidden="1" x14ac:dyDescent="0.2">
      <c r="A238" s="5">
        <f t="shared" si="32"/>
        <v>42</v>
      </c>
      <c r="B238" s="173" t="s">
        <v>104</v>
      </c>
      <c r="C238" s="197"/>
      <c r="D238" s="177"/>
      <c r="E238" s="177">
        <f t="shared" si="31"/>
        <v>0</v>
      </c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</row>
    <row r="239" spans="1:17" hidden="1" x14ac:dyDescent="0.2">
      <c r="A239" s="5">
        <f t="shared" si="32"/>
        <v>43</v>
      </c>
      <c r="B239" s="173" t="s">
        <v>104</v>
      </c>
      <c r="C239" s="197"/>
      <c r="D239" s="177"/>
      <c r="E239" s="177">
        <f t="shared" si="31"/>
        <v>0</v>
      </c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</row>
    <row r="240" spans="1:17" hidden="1" x14ac:dyDescent="0.2">
      <c r="A240" s="5">
        <f t="shared" si="32"/>
        <v>44</v>
      </c>
      <c r="B240" s="173" t="s">
        <v>104</v>
      </c>
      <c r="C240" s="197"/>
      <c r="D240" s="177"/>
      <c r="E240" s="177">
        <f t="shared" si="31"/>
        <v>0</v>
      </c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</row>
    <row r="241" spans="1:17" hidden="1" x14ac:dyDescent="0.2">
      <c r="A241" s="5">
        <f t="shared" si="32"/>
        <v>45</v>
      </c>
      <c r="B241" s="173" t="s">
        <v>104</v>
      </c>
      <c r="C241" s="197"/>
      <c r="D241" s="177"/>
      <c r="E241" s="177">
        <f t="shared" si="31"/>
        <v>0</v>
      </c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</row>
    <row r="242" spans="1:17" hidden="1" x14ac:dyDescent="0.2">
      <c r="A242" s="5">
        <f t="shared" si="32"/>
        <v>46</v>
      </c>
      <c r="B242" s="173" t="s">
        <v>104</v>
      </c>
      <c r="C242" s="197"/>
      <c r="D242" s="177"/>
      <c r="E242" s="177">
        <f t="shared" si="31"/>
        <v>0</v>
      </c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</row>
    <row r="243" spans="1:17" hidden="1" x14ac:dyDescent="0.2">
      <c r="A243" s="5">
        <f t="shared" si="32"/>
        <v>47</v>
      </c>
      <c r="B243" s="173" t="s">
        <v>104</v>
      </c>
      <c r="C243" s="197"/>
      <c r="D243" s="177"/>
      <c r="E243" s="177">
        <f t="shared" si="31"/>
        <v>0</v>
      </c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</row>
    <row r="244" spans="1:17" hidden="1" x14ac:dyDescent="0.2">
      <c r="A244" s="5">
        <f t="shared" si="32"/>
        <v>48</v>
      </c>
      <c r="B244" s="173" t="s">
        <v>104</v>
      </c>
      <c r="C244" s="197"/>
      <c r="D244" s="177"/>
      <c r="E244" s="177">
        <f t="shared" si="31"/>
        <v>0</v>
      </c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</row>
    <row r="245" spans="1:17" hidden="1" x14ac:dyDescent="0.2">
      <c r="A245" s="5">
        <f t="shared" si="32"/>
        <v>49</v>
      </c>
      <c r="B245" s="173" t="s">
        <v>104</v>
      </c>
      <c r="C245" s="197"/>
      <c r="D245" s="177"/>
      <c r="E245" s="177">
        <f t="shared" si="31"/>
        <v>0</v>
      </c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</row>
    <row r="246" spans="1:17" hidden="1" x14ac:dyDescent="0.2">
      <c r="A246" s="5">
        <f t="shared" si="32"/>
        <v>50</v>
      </c>
      <c r="B246" s="173" t="s">
        <v>104</v>
      </c>
      <c r="C246" s="197"/>
      <c r="D246" s="177"/>
      <c r="E246" s="177">
        <f t="shared" si="31"/>
        <v>0</v>
      </c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</row>
    <row r="247" spans="1:17" hidden="1" x14ac:dyDescent="0.2">
      <c r="A247" s="5">
        <f t="shared" si="32"/>
        <v>51</v>
      </c>
      <c r="B247" s="173" t="s">
        <v>104</v>
      </c>
      <c r="C247" s="197"/>
      <c r="D247" s="177"/>
      <c r="E247" s="177">
        <f t="shared" si="31"/>
        <v>0</v>
      </c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</row>
    <row r="248" spans="1:17" hidden="1" x14ac:dyDescent="0.2">
      <c r="A248" s="5">
        <f t="shared" si="32"/>
        <v>52</v>
      </c>
      <c r="B248" s="173" t="s">
        <v>104</v>
      </c>
      <c r="C248" s="197"/>
      <c r="D248" s="177"/>
      <c r="E248" s="177">
        <f t="shared" si="31"/>
        <v>0</v>
      </c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</row>
    <row r="249" spans="1:17" hidden="1" x14ac:dyDescent="0.2">
      <c r="A249" s="5">
        <f t="shared" si="32"/>
        <v>53</v>
      </c>
      <c r="B249" s="173" t="s">
        <v>104</v>
      </c>
      <c r="C249" s="197"/>
      <c r="D249" s="177"/>
      <c r="E249" s="177">
        <f t="shared" si="31"/>
        <v>0</v>
      </c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</row>
    <row r="250" spans="1:17" hidden="1" x14ac:dyDescent="0.2">
      <c r="A250" s="5">
        <f t="shared" si="32"/>
        <v>54</v>
      </c>
      <c r="B250" s="173" t="s">
        <v>104</v>
      </c>
      <c r="C250" s="197"/>
      <c r="D250" s="177"/>
      <c r="E250" s="177">
        <f t="shared" si="31"/>
        <v>0</v>
      </c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</row>
    <row r="251" spans="1:17" hidden="1" x14ac:dyDescent="0.2">
      <c r="A251" s="5">
        <f t="shared" si="32"/>
        <v>55</v>
      </c>
      <c r="B251" s="173" t="s">
        <v>104</v>
      </c>
      <c r="C251" s="197"/>
      <c r="D251" s="177"/>
      <c r="E251" s="177">
        <f t="shared" si="31"/>
        <v>0</v>
      </c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</row>
    <row r="252" spans="1:17" hidden="1" x14ac:dyDescent="0.2">
      <c r="A252" s="5">
        <f t="shared" si="32"/>
        <v>56</v>
      </c>
      <c r="B252" s="173" t="s">
        <v>104</v>
      </c>
      <c r="C252" s="197"/>
      <c r="D252" s="177"/>
      <c r="E252" s="177">
        <f t="shared" si="31"/>
        <v>0</v>
      </c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</row>
    <row r="253" spans="1:17" hidden="1" x14ac:dyDescent="0.2">
      <c r="A253" s="5">
        <f t="shared" si="32"/>
        <v>57</v>
      </c>
      <c r="B253" s="173" t="s">
        <v>104</v>
      </c>
      <c r="C253" s="197"/>
      <c r="D253" s="177"/>
      <c r="E253" s="177">
        <f t="shared" si="31"/>
        <v>0</v>
      </c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</row>
    <row r="254" spans="1:17" hidden="1" x14ac:dyDescent="0.2">
      <c r="A254" s="5">
        <f t="shared" si="32"/>
        <v>58</v>
      </c>
      <c r="B254" s="173" t="s">
        <v>104</v>
      </c>
      <c r="C254" s="197"/>
      <c r="D254" s="177"/>
      <c r="E254" s="177">
        <f t="shared" si="31"/>
        <v>0</v>
      </c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</row>
    <row r="255" spans="1:17" hidden="1" x14ac:dyDescent="0.2">
      <c r="A255" s="5">
        <f t="shared" si="32"/>
        <v>59</v>
      </c>
      <c r="B255" s="173" t="s">
        <v>104</v>
      </c>
      <c r="C255" s="197"/>
      <c r="D255" s="177"/>
      <c r="E255" s="177">
        <f t="shared" si="31"/>
        <v>0</v>
      </c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</row>
    <row r="256" spans="1:17" ht="12" hidden="1" customHeight="1" x14ac:dyDescent="0.2">
      <c r="A256" s="5">
        <f t="shared" si="32"/>
        <v>60</v>
      </c>
      <c r="B256" s="173" t="s">
        <v>104</v>
      </c>
      <c r="C256" s="197"/>
      <c r="D256" s="177"/>
      <c r="E256" s="177">
        <f t="shared" si="31"/>
        <v>0</v>
      </c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</row>
    <row r="257" spans="2:18" ht="15.75" x14ac:dyDescent="0.2">
      <c r="B257" s="173"/>
      <c r="C257" s="194" t="s">
        <v>32</v>
      </c>
      <c r="D257" s="194"/>
      <c r="E257" s="175">
        <f>SUM(E258:E264)</f>
        <v>256400</v>
      </c>
      <c r="F257" s="175">
        <f t="shared" ref="F257:Q257" si="33">SUM(F258:F264)</f>
        <v>12200</v>
      </c>
      <c r="G257" s="175">
        <f t="shared" si="33"/>
        <v>12200</v>
      </c>
      <c r="H257" s="175">
        <f t="shared" si="33"/>
        <v>12200</v>
      </c>
      <c r="I257" s="175">
        <f t="shared" si="33"/>
        <v>12200</v>
      </c>
      <c r="J257" s="175">
        <f t="shared" si="33"/>
        <v>12200</v>
      </c>
      <c r="K257" s="175">
        <f t="shared" si="33"/>
        <v>12200</v>
      </c>
      <c r="L257" s="175">
        <f t="shared" si="33"/>
        <v>12200</v>
      </c>
      <c r="M257" s="175">
        <f t="shared" si="33"/>
        <v>12200</v>
      </c>
      <c r="N257" s="175">
        <f t="shared" si="33"/>
        <v>12200</v>
      </c>
      <c r="O257" s="175">
        <f t="shared" si="33"/>
        <v>12200</v>
      </c>
      <c r="P257" s="175">
        <f t="shared" si="33"/>
        <v>122200</v>
      </c>
      <c r="Q257" s="175">
        <f t="shared" si="33"/>
        <v>12200</v>
      </c>
    </row>
    <row r="258" spans="2:18" ht="15.75" customHeight="1" x14ac:dyDescent="0.2">
      <c r="B258" s="173"/>
      <c r="C258" s="232" t="s">
        <v>103</v>
      </c>
      <c r="D258" s="188"/>
      <c r="E258" s="188">
        <f t="shared" ref="E258:E264" si="34">SUM(F258:Q258)</f>
        <v>110000</v>
      </c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>
        <v>110000</v>
      </c>
      <c r="Q258" s="188"/>
      <c r="R258" s="5" t="s">
        <v>81</v>
      </c>
    </row>
    <row r="259" spans="2:18" ht="15.75" customHeight="1" x14ac:dyDescent="0.2">
      <c r="B259" s="173"/>
      <c r="C259" s="232" t="s">
        <v>102</v>
      </c>
      <c r="D259" s="188"/>
      <c r="E259" s="188">
        <f t="shared" si="34"/>
        <v>120000</v>
      </c>
      <c r="F259" s="188">
        <v>10000</v>
      </c>
      <c r="G259" s="188">
        <v>10000</v>
      </c>
      <c r="H259" s="188">
        <v>10000</v>
      </c>
      <c r="I259" s="188">
        <v>10000</v>
      </c>
      <c r="J259" s="188">
        <v>10000</v>
      </c>
      <c r="K259" s="188">
        <v>10000</v>
      </c>
      <c r="L259" s="188">
        <v>10000</v>
      </c>
      <c r="M259" s="188">
        <v>10000</v>
      </c>
      <c r="N259" s="188">
        <v>10000</v>
      </c>
      <c r="O259" s="188">
        <v>10000</v>
      </c>
      <c r="P259" s="188">
        <v>10000</v>
      </c>
      <c r="Q259" s="188">
        <v>10000</v>
      </c>
      <c r="R259" s="5" t="s">
        <v>81</v>
      </c>
    </row>
    <row r="260" spans="2:18" ht="16.5" customHeight="1" x14ac:dyDescent="0.2">
      <c r="B260" s="173"/>
      <c r="C260" s="232" t="s">
        <v>101</v>
      </c>
      <c r="D260" s="188"/>
      <c r="E260" s="188">
        <f t="shared" si="34"/>
        <v>26400</v>
      </c>
      <c r="F260" s="188">
        <v>2200</v>
      </c>
      <c r="G260" s="188">
        <v>2200</v>
      </c>
      <c r="H260" s="188">
        <v>2200</v>
      </c>
      <c r="I260" s="188">
        <v>2200</v>
      </c>
      <c r="J260" s="188">
        <v>2200</v>
      </c>
      <c r="K260" s="188">
        <v>2200</v>
      </c>
      <c r="L260" s="188">
        <v>2200</v>
      </c>
      <c r="M260" s="188">
        <v>2200</v>
      </c>
      <c r="N260" s="188">
        <v>2200</v>
      </c>
      <c r="O260" s="188">
        <v>2200</v>
      </c>
      <c r="P260" s="188">
        <v>2200</v>
      </c>
      <c r="Q260" s="188">
        <v>2200</v>
      </c>
      <c r="R260" s="5" t="s">
        <v>81</v>
      </c>
    </row>
    <row r="261" spans="2:18" hidden="1" x14ac:dyDescent="0.2">
      <c r="B261" s="173"/>
      <c r="C261" s="197"/>
      <c r="D261" s="177"/>
      <c r="E261" s="177">
        <f t="shared" si="34"/>
        <v>0</v>
      </c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</row>
    <row r="262" spans="2:18" hidden="1" x14ac:dyDescent="0.2">
      <c r="B262" s="173"/>
      <c r="C262" s="197"/>
      <c r="D262" s="177"/>
      <c r="E262" s="177">
        <f t="shared" si="34"/>
        <v>0</v>
      </c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</row>
    <row r="263" spans="2:18" hidden="1" x14ac:dyDescent="0.2">
      <c r="B263" s="173"/>
      <c r="C263" s="197"/>
      <c r="D263" s="177"/>
      <c r="E263" s="177">
        <f t="shared" si="34"/>
        <v>0</v>
      </c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</row>
    <row r="264" spans="2:18" hidden="1" x14ac:dyDescent="0.2">
      <c r="B264" s="173"/>
      <c r="C264" s="197"/>
      <c r="D264" s="177"/>
      <c r="E264" s="177">
        <f t="shared" si="34"/>
        <v>0</v>
      </c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</row>
    <row r="265" spans="2:18" ht="15.75" hidden="1" x14ac:dyDescent="0.2">
      <c r="B265" s="173"/>
      <c r="C265" s="194" t="s">
        <v>100</v>
      </c>
      <c r="D265" s="194"/>
      <c r="E265" s="175">
        <f t="shared" ref="E265:Q265" si="35">E266</f>
        <v>0</v>
      </c>
      <c r="F265" s="175">
        <f t="shared" si="35"/>
        <v>0</v>
      </c>
      <c r="G265" s="175">
        <f t="shared" si="35"/>
        <v>0</v>
      </c>
      <c r="H265" s="175">
        <f t="shared" si="35"/>
        <v>0</v>
      </c>
      <c r="I265" s="175">
        <f t="shared" si="35"/>
        <v>0</v>
      </c>
      <c r="J265" s="175">
        <f t="shared" si="35"/>
        <v>0</v>
      </c>
      <c r="K265" s="175">
        <f t="shared" si="35"/>
        <v>0</v>
      </c>
      <c r="L265" s="175">
        <f t="shared" si="35"/>
        <v>0</v>
      </c>
      <c r="M265" s="175">
        <f t="shared" si="35"/>
        <v>0</v>
      </c>
      <c r="N265" s="175">
        <f t="shared" si="35"/>
        <v>0</v>
      </c>
      <c r="O265" s="175">
        <f t="shared" si="35"/>
        <v>0</v>
      </c>
      <c r="P265" s="175">
        <f t="shared" si="35"/>
        <v>0</v>
      </c>
      <c r="Q265" s="175">
        <f t="shared" si="35"/>
        <v>0</v>
      </c>
    </row>
    <row r="266" spans="2:18" hidden="1" x14ac:dyDescent="0.2">
      <c r="B266" s="173"/>
      <c r="C266" s="198"/>
      <c r="D266" s="177"/>
      <c r="E266" s="177">
        <f>SUM(F266:Q266)</f>
        <v>0</v>
      </c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</row>
    <row r="267" spans="2:18" ht="15.75" hidden="1" x14ac:dyDescent="0.2">
      <c r="B267" s="173"/>
      <c r="C267" s="194" t="s">
        <v>99</v>
      </c>
      <c r="D267" s="194"/>
      <c r="E267" s="177">
        <f>SUM(F267:Q267)</f>
        <v>0</v>
      </c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</row>
    <row r="268" spans="2:18" ht="15.75" x14ac:dyDescent="0.2">
      <c r="B268" s="173"/>
      <c r="C268" s="185" t="s">
        <v>98</v>
      </c>
      <c r="D268" s="185"/>
      <c r="E268" s="257">
        <f>E51+E53+E184+E257</f>
        <v>116951268</v>
      </c>
      <c r="F268" s="186">
        <f>F51+F53+F184+F257</f>
        <v>7949811</v>
      </c>
      <c r="G268" s="186">
        <f>G51+G53+G184+G257+1</f>
        <v>8582621</v>
      </c>
      <c r="H268" s="186">
        <f t="shared" ref="H268:Q268" si="36">H51+H53+H184+H257</f>
        <v>9350470</v>
      </c>
      <c r="I268" s="186">
        <f>I51+I53+I184+I257-2</f>
        <v>9368195</v>
      </c>
      <c r="J268" s="186">
        <f t="shared" si="36"/>
        <v>9056907</v>
      </c>
      <c r="K268" s="186">
        <f t="shared" si="36"/>
        <v>9938885</v>
      </c>
      <c r="L268" s="186">
        <f t="shared" si="36"/>
        <v>9465547</v>
      </c>
      <c r="M268" s="186">
        <f>M51+M53+M184+M257-1</f>
        <v>10762238</v>
      </c>
      <c r="N268" s="186">
        <f t="shared" si="36"/>
        <v>10379799</v>
      </c>
      <c r="O268" s="186">
        <f t="shared" si="36"/>
        <v>11140805</v>
      </c>
      <c r="P268" s="186">
        <f>P51+P53+P184+P257+1</f>
        <v>10078882</v>
      </c>
      <c r="Q268" s="186">
        <f t="shared" si="36"/>
        <v>10877107</v>
      </c>
    </row>
    <row r="269" spans="2:18" ht="15.75" x14ac:dyDescent="0.25">
      <c r="B269" s="173"/>
      <c r="C269" s="239"/>
      <c r="D269" s="199"/>
      <c r="E269" s="258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</row>
    <row r="270" spans="2:18" ht="31.5" x14ac:dyDescent="0.2">
      <c r="B270" s="173"/>
      <c r="C270" s="200" t="s">
        <v>97</v>
      </c>
      <c r="D270" s="200"/>
      <c r="E270" s="259">
        <f>E8+E20-E268</f>
        <v>7418367.8333333433</v>
      </c>
      <c r="F270" s="201">
        <f>F8+F20-F268</f>
        <v>270149.83333333302</v>
      </c>
      <c r="G270" s="201">
        <f t="shared" ref="G270:Q270" si="37">G8+G20-G268</f>
        <v>161604.5</v>
      </c>
      <c r="H270" s="201">
        <f t="shared" si="37"/>
        <v>214678.33333333395</v>
      </c>
      <c r="I270" s="201">
        <f t="shared" si="37"/>
        <v>340657.33333333582</v>
      </c>
      <c r="J270" s="201">
        <f t="shared" si="37"/>
        <v>419188.33333333209</v>
      </c>
      <c r="K270" s="201">
        <f t="shared" si="37"/>
        <v>564094.66666666791</v>
      </c>
      <c r="L270" s="201">
        <f t="shared" si="37"/>
        <v>1505574.666666666</v>
      </c>
      <c r="M270" s="201">
        <f t="shared" si="37"/>
        <v>1363100.1666666679</v>
      </c>
      <c r="N270" s="201">
        <f t="shared" si="37"/>
        <v>1267601</v>
      </c>
      <c r="O270" s="201">
        <f t="shared" si="37"/>
        <v>160248.16666666977</v>
      </c>
      <c r="P270" s="201">
        <f t="shared" si="37"/>
        <v>564123.66666666605</v>
      </c>
      <c r="Q270" s="201">
        <f t="shared" si="37"/>
        <v>587348.16666666977</v>
      </c>
    </row>
    <row r="271" spans="2:18" ht="15.75" x14ac:dyDescent="0.25">
      <c r="B271" s="173"/>
      <c r="C271" s="239"/>
      <c r="D271" s="199"/>
      <c r="E271" s="260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</row>
    <row r="272" spans="2:18" ht="15.75" hidden="1" x14ac:dyDescent="0.2">
      <c r="B272" s="173"/>
      <c r="C272" s="194" t="s">
        <v>96</v>
      </c>
      <c r="D272" s="194"/>
      <c r="E272" s="261">
        <f t="shared" ref="E272:Q272" si="38">E273+E274</f>
        <v>0</v>
      </c>
      <c r="F272" s="175">
        <f t="shared" si="38"/>
        <v>0</v>
      </c>
      <c r="G272" s="175">
        <f t="shared" si="38"/>
        <v>0</v>
      </c>
      <c r="H272" s="175">
        <f t="shared" si="38"/>
        <v>0</v>
      </c>
      <c r="I272" s="175">
        <f t="shared" si="38"/>
        <v>0</v>
      </c>
      <c r="J272" s="175">
        <f t="shared" si="38"/>
        <v>0</v>
      </c>
      <c r="K272" s="175">
        <f t="shared" si="38"/>
        <v>0</v>
      </c>
      <c r="L272" s="175">
        <f t="shared" si="38"/>
        <v>0</v>
      </c>
      <c r="M272" s="175">
        <f t="shared" si="38"/>
        <v>0</v>
      </c>
      <c r="N272" s="175">
        <f t="shared" si="38"/>
        <v>0</v>
      </c>
      <c r="O272" s="175">
        <f t="shared" si="38"/>
        <v>0</v>
      </c>
      <c r="P272" s="175">
        <f t="shared" si="38"/>
        <v>0</v>
      </c>
      <c r="Q272" s="175">
        <f t="shared" si="38"/>
        <v>0</v>
      </c>
    </row>
    <row r="273" spans="2:17" ht="15.75" hidden="1" x14ac:dyDescent="0.2">
      <c r="B273" s="173"/>
      <c r="C273" s="240" t="s">
        <v>95</v>
      </c>
      <c r="D273" s="202"/>
      <c r="E273" s="262">
        <f>SUM(F273:Q273)</f>
        <v>0</v>
      </c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</row>
    <row r="274" spans="2:17" ht="15.75" hidden="1" x14ac:dyDescent="0.25">
      <c r="B274" s="173"/>
      <c r="C274" s="241"/>
      <c r="D274" s="203"/>
      <c r="E274" s="262">
        <f>SUM(F274:Q274)</f>
        <v>0</v>
      </c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</row>
    <row r="275" spans="2:17" ht="15.75" hidden="1" x14ac:dyDescent="0.2">
      <c r="B275" s="173"/>
      <c r="C275" s="194" t="s">
        <v>94</v>
      </c>
      <c r="D275" s="194"/>
      <c r="E275" s="261">
        <f t="shared" ref="E275:Q275" si="39">E276+E277+E278</f>
        <v>0</v>
      </c>
      <c r="F275" s="175">
        <f t="shared" si="39"/>
        <v>0</v>
      </c>
      <c r="G275" s="175">
        <f t="shared" si="39"/>
        <v>0</v>
      </c>
      <c r="H275" s="175">
        <f t="shared" si="39"/>
        <v>0</v>
      </c>
      <c r="I275" s="175">
        <f t="shared" si="39"/>
        <v>0</v>
      </c>
      <c r="J275" s="175">
        <f t="shared" si="39"/>
        <v>0</v>
      </c>
      <c r="K275" s="175">
        <f t="shared" si="39"/>
        <v>0</v>
      </c>
      <c r="L275" s="175">
        <f t="shared" si="39"/>
        <v>0</v>
      </c>
      <c r="M275" s="175">
        <f t="shared" si="39"/>
        <v>0</v>
      </c>
      <c r="N275" s="175">
        <f t="shared" si="39"/>
        <v>0</v>
      </c>
      <c r="O275" s="175">
        <f t="shared" si="39"/>
        <v>0</v>
      </c>
      <c r="P275" s="175">
        <f t="shared" si="39"/>
        <v>0</v>
      </c>
      <c r="Q275" s="175">
        <f t="shared" si="39"/>
        <v>0</v>
      </c>
    </row>
    <row r="276" spans="2:17" ht="15.75" hidden="1" x14ac:dyDescent="0.25">
      <c r="B276" s="173"/>
      <c r="C276" s="241"/>
      <c r="D276" s="204"/>
      <c r="E276" s="263">
        <f>SUM(F276:Q276)</f>
        <v>0</v>
      </c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</row>
    <row r="277" spans="2:17" ht="15.75" hidden="1" x14ac:dyDescent="0.25">
      <c r="B277" s="173"/>
      <c r="C277" s="241"/>
      <c r="D277" s="203"/>
      <c r="E277" s="263">
        <f>SUM(F277:Q277)</f>
        <v>0</v>
      </c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</row>
    <row r="278" spans="2:17" ht="15.75" hidden="1" x14ac:dyDescent="0.25">
      <c r="B278" s="173"/>
      <c r="C278" s="241"/>
      <c r="D278" s="205"/>
      <c r="E278" s="263">
        <f>SUM(F278:Q278)</f>
        <v>0</v>
      </c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</row>
    <row r="279" spans="2:17" ht="15.75" hidden="1" x14ac:dyDescent="0.2">
      <c r="B279" s="173"/>
      <c r="C279" s="200" t="s">
        <v>93</v>
      </c>
      <c r="D279" s="200"/>
      <c r="E279" s="259">
        <f>E270-E272-E275+E27+E31</f>
        <v>7418367.8333333433</v>
      </c>
      <c r="F279" s="201">
        <f t="shared" ref="F279:Q279" si="40">F270-F272-F275+F27+F31</f>
        <v>270149.83333333302</v>
      </c>
      <c r="G279" s="201">
        <f t="shared" si="40"/>
        <v>161604.5</v>
      </c>
      <c r="H279" s="201">
        <f t="shared" si="40"/>
        <v>214678.33333333395</v>
      </c>
      <c r="I279" s="201">
        <f t="shared" si="40"/>
        <v>340657.33333333582</v>
      </c>
      <c r="J279" s="201">
        <f t="shared" si="40"/>
        <v>419188.33333333209</v>
      </c>
      <c r="K279" s="201">
        <f t="shared" si="40"/>
        <v>564094.66666666791</v>
      </c>
      <c r="L279" s="201">
        <f t="shared" si="40"/>
        <v>1505574.666666666</v>
      </c>
      <c r="M279" s="201">
        <f t="shared" si="40"/>
        <v>1363100.1666666679</v>
      </c>
      <c r="N279" s="201">
        <f>N270-N272-N275+N27+N31</f>
        <v>1267601</v>
      </c>
      <c r="O279" s="201">
        <f t="shared" si="40"/>
        <v>160248.16666666977</v>
      </c>
      <c r="P279" s="201">
        <f t="shared" si="40"/>
        <v>564123.66666666605</v>
      </c>
      <c r="Q279" s="201">
        <f t="shared" si="40"/>
        <v>587348.16666666977</v>
      </c>
    </row>
    <row r="280" spans="2:17" ht="15.75" hidden="1" x14ac:dyDescent="0.25">
      <c r="B280" s="173"/>
      <c r="C280" s="242"/>
      <c r="D280" s="205"/>
      <c r="E280" s="258"/>
      <c r="F280" s="187"/>
      <c r="G280" s="187"/>
      <c r="H280" s="187">
        <f>F279+G279+H279</f>
        <v>646432.66666666698</v>
      </c>
      <c r="I280" s="187"/>
      <c r="J280" s="187"/>
      <c r="K280" s="187"/>
      <c r="L280" s="187"/>
      <c r="M280" s="187"/>
      <c r="N280" s="187"/>
      <c r="O280" s="187"/>
      <c r="P280" s="187"/>
      <c r="Q280" s="187"/>
    </row>
    <row r="281" spans="2:17" ht="15.75" x14ac:dyDescent="0.2">
      <c r="B281" s="173"/>
      <c r="C281" s="194" t="s">
        <v>92</v>
      </c>
      <c r="D281" s="194"/>
      <c r="E281" s="261">
        <f>SUM(F281:Q281)</f>
        <v>1335306.3900000015</v>
      </c>
      <c r="F281" s="248"/>
      <c r="G281" s="248"/>
      <c r="H281" s="188">
        <f>(F279+G279+H279)*18%</f>
        <v>116357.88000000005</v>
      </c>
      <c r="I281" s="248"/>
      <c r="J281" s="248"/>
      <c r="K281" s="188">
        <f>(I279+J279+K279)*18%</f>
        <v>238309.26000000045</v>
      </c>
      <c r="L281" s="248"/>
      <c r="M281" s="248"/>
      <c r="N281" s="188">
        <f>(L279+M279+N279)*18%</f>
        <v>744529.65000000014</v>
      </c>
      <c r="O281" s="248"/>
      <c r="P281" s="248"/>
      <c r="Q281" s="188">
        <f>(O279+P279+Q279)*18%</f>
        <v>236109.600000001</v>
      </c>
    </row>
    <row r="282" spans="2:17" ht="15.75" x14ac:dyDescent="0.25">
      <c r="B282" s="173"/>
      <c r="C282" s="242"/>
      <c r="D282" s="205"/>
      <c r="E282" s="258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</row>
    <row r="283" spans="2:17" ht="15.75" x14ac:dyDescent="0.2">
      <c r="B283" s="173"/>
      <c r="C283" s="200" t="s">
        <v>226</v>
      </c>
      <c r="D283" s="200"/>
      <c r="E283" s="259">
        <f>E279-E281+1</f>
        <v>6083062.4433333417</v>
      </c>
      <c r="F283" s="201">
        <f t="shared" ref="F283:Q283" si="41">F279-F281</f>
        <v>270149.83333333302</v>
      </c>
      <c r="G283" s="201">
        <f t="shared" si="41"/>
        <v>161604.5</v>
      </c>
      <c r="H283" s="201">
        <f t="shared" si="41"/>
        <v>98320.453333333906</v>
      </c>
      <c r="I283" s="201">
        <f t="shared" si="41"/>
        <v>340657.33333333582</v>
      </c>
      <c r="J283" s="201">
        <f t="shared" si="41"/>
        <v>419188.33333333209</v>
      </c>
      <c r="K283" s="201">
        <f t="shared" si="41"/>
        <v>325785.40666666743</v>
      </c>
      <c r="L283" s="201">
        <f t="shared" si="41"/>
        <v>1505574.666666666</v>
      </c>
      <c r="M283" s="201">
        <f t="shared" si="41"/>
        <v>1363100.1666666679</v>
      </c>
      <c r="N283" s="201">
        <f>N279-N281</f>
        <v>523071.34999999986</v>
      </c>
      <c r="O283" s="201">
        <f t="shared" si="41"/>
        <v>160248.16666666977</v>
      </c>
      <c r="P283" s="201">
        <f t="shared" si="41"/>
        <v>564123.66666666605</v>
      </c>
      <c r="Q283" s="201">
        <f t="shared" si="41"/>
        <v>351238.56666666875</v>
      </c>
    </row>
    <row r="284" spans="2:17" x14ac:dyDescent="0.2">
      <c r="B284" s="173"/>
      <c r="C284" s="205"/>
      <c r="D284" s="205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</row>
    <row r="285" spans="2:17" hidden="1" x14ac:dyDescent="0.2">
      <c r="B285" s="206"/>
      <c r="C285" s="207"/>
      <c r="D285" s="207"/>
      <c r="E285" s="267">
        <f>H285+K285+N285+Q285</f>
        <v>6083062.4433333408</v>
      </c>
      <c r="F285" s="207"/>
      <c r="G285" s="207"/>
      <c r="H285" s="267">
        <f>F283+G283+H283</f>
        <v>530074.78666666697</v>
      </c>
      <c r="I285" s="267"/>
      <c r="J285" s="267"/>
      <c r="K285" s="267">
        <f>I283+J283+K283</f>
        <v>1085631.0733333353</v>
      </c>
      <c r="L285" s="267"/>
      <c r="M285" s="267"/>
      <c r="N285" s="267">
        <f>L283+M283+N283</f>
        <v>3391746.1833333336</v>
      </c>
      <c r="O285" s="267"/>
      <c r="P285" s="267"/>
      <c r="Q285" s="267">
        <f>O283+P283+Q283</f>
        <v>1075610.4000000046</v>
      </c>
    </row>
    <row r="286" spans="2:17" hidden="1" x14ac:dyDescent="0.25">
      <c r="B286" s="208"/>
      <c r="C286" s="268">
        <v>0.3</v>
      </c>
      <c r="D286" s="165"/>
      <c r="E286" s="266">
        <f>H286+K286+N286+Q286</f>
        <v>1824918.7330000019</v>
      </c>
      <c r="F286" s="206"/>
      <c r="G286" s="206"/>
      <c r="H286" s="266">
        <f>H285*30%</f>
        <v>159022.43600000007</v>
      </c>
      <c r="I286" s="266"/>
      <c r="J286" s="266"/>
      <c r="K286" s="266">
        <f>K285*30%</f>
        <v>325689.32200000057</v>
      </c>
      <c r="L286" s="266"/>
      <c r="M286" s="266"/>
      <c r="N286" s="266">
        <f>N285*30%</f>
        <v>1017523.855</v>
      </c>
      <c r="O286" s="266"/>
      <c r="P286" s="266"/>
      <c r="Q286" s="266">
        <f>Q285*30%</f>
        <v>322683.12000000133</v>
      </c>
    </row>
    <row r="287" spans="2:17" x14ac:dyDescent="0.25">
      <c r="B287" s="208"/>
      <c r="C287" s="165"/>
      <c r="D287" s="165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</row>
    <row r="288" spans="2:17" ht="16.5" thickBot="1" x14ac:dyDescent="0.3">
      <c r="B288" s="208"/>
      <c r="C288" s="7" t="s">
        <v>91</v>
      </c>
      <c r="D288" s="49"/>
      <c r="E288" s="49"/>
      <c r="F288" s="49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</row>
    <row r="289" spans="2:28" ht="15.75" thickBot="1" x14ac:dyDescent="0.3">
      <c r="B289" s="208"/>
      <c r="C289" s="209" t="s">
        <v>90</v>
      </c>
      <c r="D289" s="209"/>
      <c r="E289" s="210" t="s">
        <v>291</v>
      </c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</row>
    <row r="290" spans="2:28" ht="15.75" thickBot="1" x14ac:dyDescent="0.3">
      <c r="B290" s="208"/>
      <c r="C290" s="209"/>
      <c r="D290" s="209"/>
      <c r="E290" s="165"/>
      <c r="F290" s="167">
        <v>1</v>
      </c>
      <c r="G290" s="167">
        <v>2</v>
      </c>
      <c r="H290" s="167">
        <v>3</v>
      </c>
      <c r="I290" s="167">
        <v>4</v>
      </c>
      <c r="J290" s="167">
        <v>5</v>
      </c>
      <c r="K290" s="167">
        <v>6</v>
      </c>
      <c r="L290" s="167">
        <v>7</v>
      </c>
      <c r="M290" s="167">
        <v>8</v>
      </c>
      <c r="N290" s="167">
        <v>9</v>
      </c>
      <c r="O290" s="167">
        <v>10</v>
      </c>
      <c r="P290" s="167">
        <v>11</v>
      </c>
      <c r="Q290" s="167">
        <v>12</v>
      </c>
    </row>
    <row r="291" spans="2:28" ht="15.75" thickBot="1" x14ac:dyDescent="0.3">
      <c r="B291" s="208"/>
      <c r="C291" s="245" t="s">
        <v>88</v>
      </c>
      <c r="D291" s="209"/>
      <c r="E291" s="175">
        <f t="shared" ref="E291:E298" si="42">SUM(F291:Q291)</f>
        <v>67447984</v>
      </c>
      <c r="F291" s="175">
        <f>F292+F293+F294</f>
        <v>4108476</v>
      </c>
      <c r="G291" s="175">
        <f t="shared" ref="G291:Q291" si="43">G292+G293+G294</f>
        <v>3895285</v>
      </c>
      <c r="H291" s="175">
        <f t="shared" si="43"/>
        <v>5509135</v>
      </c>
      <c r="I291" s="175">
        <f t="shared" si="43"/>
        <v>5194274</v>
      </c>
      <c r="J291" s="175">
        <f t="shared" si="43"/>
        <v>4321872</v>
      </c>
      <c r="K291" s="175">
        <f t="shared" si="43"/>
        <v>6097550</v>
      </c>
      <c r="L291" s="175">
        <f t="shared" si="43"/>
        <v>5624212</v>
      </c>
      <c r="M291" s="175">
        <f t="shared" si="43"/>
        <v>5694615</v>
      </c>
      <c r="N291" s="175">
        <f t="shared" si="43"/>
        <v>6538464</v>
      </c>
      <c r="O291" s="175">
        <f t="shared" si="43"/>
        <v>7299470</v>
      </c>
      <c r="P291" s="175">
        <f t="shared" si="43"/>
        <v>6127546</v>
      </c>
      <c r="Q291" s="175">
        <f t="shared" si="43"/>
        <v>7037085</v>
      </c>
    </row>
    <row r="292" spans="2:28" ht="15.75" thickBot="1" x14ac:dyDescent="0.3">
      <c r="B292" s="208" t="s">
        <v>89</v>
      </c>
      <c r="C292" s="209" t="s">
        <v>88</v>
      </c>
      <c r="D292" s="209"/>
      <c r="E292" s="211">
        <f>SUM(F292:Q292)</f>
        <v>25477273</v>
      </c>
      <c r="F292" s="188">
        <f>SUMIF($R$41:$R$267,$B292,$F$41:$F$267)</f>
        <v>720749</v>
      </c>
      <c r="G292" s="188">
        <f>SUMIF($R$41:$R$267,$B292,$G$41:$G$267)</f>
        <v>900316</v>
      </c>
      <c r="H292" s="188">
        <f>SUMIF($R$41:$R$267,$B292,$H$41:$H$267)</f>
        <v>1981008</v>
      </c>
      <c r="I292" s="188">
        <f>SUMIF($R$41:$R$267,$B292,$I$41:$I$267)</f>
        <v>1559681</v>
      </c>
      <c r="J292" s="188">
        <f>SUMIF($R$41:$R$267,$B292,$J$41:$J$267)</f>
        <v>1258445</v>
      </c>
      <c r="K292" s="188">
        <f>SUMIF($R$41:$R$267,$B292,$K$41:$K$267)</f>
        <v>2652325</v>
      </c>
      <c r="L292" s="188">
        <f>SUMIF($R$41:$R$267,$B292,$L$41:$L$267)</f>
        <v>1494685</v>
      </c>
      <c r="M292" s="188">
        <f>SUMIF($R$41:$R$267,$B292,$M$41:$M$267)</f>
        <v>2115089</v>
      </c>
      <c r="N292" s="188">
        <f>SUMIF($R$41:$R$267,$B292,$N$41:$N$267)</f>
        <v>2985187</v>
      </c>
      <c r="O292" s="188">
        <f>SUMIF($R$41:$R$267,$B292,$O$41:$O$267)</f>
        <v>3668877</v>
      </c>
      <c r="P292" s="188">
        <f>SUMIF($R$41:$R$267,$B292,$P$41:$P$267)</f>
        <v>2490953</v>
      </c>
      <c r="Q292" s="188">
        <f>SUMIF($R$41:$R$267,$B292,$Q$41:$Q$267)</f>
        <v>3649958</v>
      </c>
    </row>
    <row r="293" spans="2:28" ht="15.75" thickBot="1" x14ac:dyDescent="0.3">
      <c r="B293" s="208" t="s">
        <v>87</v>
      </c>
      <c r="C293" s="209" t="s">
        <v>227</v>
      </c>
      <c r="D293" s="209"/>
      <c r="E293" s="211">
        <f t="shared" si="42"/>
        <v>14285000</v>
      </c>
      <c r="F293" s="188">
        <f>SUMIF($R$41:$R$267,$B293,$F$41:$F$267)</f>
        <v>1425000</v>
      </c>
      <c r="G293" s="188">
        <f>SUMIF($R$41:$R$267,$B293,$G$41:$G$267)</f>
        <v>1060000</v>
      </c>
      <c r="H293" s="188">
        <f>SUMIF($R$41:$R$267,$B293,$H$41:$H$267)</f>
        <v>1420000</v>
      </c>
      <c r="I293" s="188">
        <f>SUMIF($R$41:$R$267,$B293,$I$41:$I$267)</f>
        <v>1420000</v>
      </c>
      <c r="J293" s="188">
        <f>SUMIF($R$41:$R$267,$B293,$J$41:$J$267)</f>
        <v>400000</v>
      </c>
      <c r="K293" s="188">
        <f>SUMIF($R$41:$R$267,$B293,$K$41:$K$267)</f>
        <v>1060000</v>
      </c>
      <c r="L293" s="188">
        <f>SUMIF($R$41:$R$267,$B293,$L$41:$L$267)</f>
        <v>1060000</v>
      </c>
      <c r="M293" s="188">
        <f>SUMIF($R$41:$R$267,$B293,$M$41:$M$267)</f>
        <v>1060000</v>
      </c>
      <c r="N293" s="188">
        <f>SUMIF($R$41:$R$267,$B293,$N$41:$N$267)</f>
        <v>1110000</v>
      </c>
      <c r="O293" s="188">
        <f>SUMIF($R$41:$R$267,$B293,$O$41:$O$267)</f>
        <v>1420000</v>
      </c>
      <c r="P293" s="188">
        <f>SUMIF($R$41:$R$267,$B293,$P$41:$P$267)</f>
        <v>1425000</v>
      </c>
      <c r="Q293" s="188">
        <f>SUMIF($R$41:$R$267,$B293,$Q$41:$Q$267)</f>
        <v>1425000</v>
      </c>
    </row>
    <row r="294" spans="2:28" ht="15.75" thickBot="1" x14ac:dyDescent="0.3">
      <c r="B294" s="208" t="s">
        <v>86</v>
      </c>
      <c r="C294" s="209" t="s">
        <v>85</v>
      </c>
      <c r="D294" s="209"/>
      <c r="E294" s="211">
        <f t="shared" si="42"/>
        <v>27685711</v>
      </c>
      <c r="F294" s="188">
        <f>SUMIF($R$41:$R$267,$B294,$F$41:$F$267)</f>
        <v>1962727</v>
      </c>
      <c r="G294" s="188">
        <f>SUMIF($R$41:$R$267,$B294,$G$41:$G$267)</f>
        <v>1934969</v>
      </c>
      <c r="H294" s="188">
        <f>SUMIF($R$41:$R$267,$B294,$H$41:$H$267)</f>
        <v>2108127</v>
      </c>
      <c r="I294" s="188">
        <f>SUMIF($R$41:$R$267,$B294,$I$41:$I$267)</f>
        <v>2214593</v>
      </c>
      <c r="J294" s="188">
        <f>SUMIF($R$41:$R$267,$B294,$J$41:$J$267)</f>
        <v>2663427</v>
      </c>
      <c r="K294" s="188">
        <f>SUMIF($R$41:$R$267,$B294,$K$41:$K$267)</f>
        <v>2385225</v>
      </c>
      <c r="L294" s="188">
        <f>SUMIF($R$41:$R$267,$B294,$L$41:$L$267)</f>
        <v>3069527</v>
      </c>
      <c r="M294" s="188">
        <f>SUMIF($R$41:$R$267,$B294,$M$41:$M$267)-1</f>
        <v>2519526</v>
      </c>
      <c r="N294" s="188">
        <f>SUMIF($R$41:$R$267,$B294,$N$41:$N$267)</f>
        <v>2443277</v>
      </c>
      <c r="O294" s="188">
        <f>SUMIF($R$41:$R$267,$B294,$O$41:$O$267)</f>
        <v>2210593</v>
      </c>
      <c r="P294" s="188">
        <f>SUMIF($R$41:$R$267,$B294,$P$41:$P$267)</f>
        <v>2211593</v>
      </c>
      <c r="Q294" s="188">
        <f>SUMIF($R$41:$R$267,$B294,$Q$41:$Q$267)</f>
        <v>1962127</v>
      </c>
    </row>
    <row r="295" spans="2:28" ht="15.75" thickBot="1" x14ac:dyDescent="0.3">
      <c r="B295" s="208" t="s">
        <v>84</v>
      </c>
      <c r="C295" s="212" t="s">
        <v>67</v>
      </c>
      <c r="D295" s="209"/>
      <c r="E295" s="175">
        <f>SUM(F295:Q295)</f>
        <v>39616000</v>
      </c>
      <c r="F295" s="188">
        <f t="shared" ref="F295:Q295" si="44">F49+F54+F185</f>
        <v>3062750</v>
      </c>
      <c r="G295" s="188">
        <f t="shared" si="44"/>
        <v>3908750</v>
      </c>
      <c r="H295" s="188">
        <f t="shared" si="44"/>
        <v>3062750</v>
      </c>
      <c r="I295" s="188">
        <f>I49+I54+I185-1</f>
        <v>3336179</v>
      </c>
      <c r="J295" s="188">
        <f t="shared" si="44"/>
        <v>3798150</v>
      </c>
      <c r="K295" s="188">
        <f t="shared" si="44"/>
        <v>3062750</v>
      </c>
      <c r="L295" s="188">
        <f>L49+L54+L185</f>
        <v>3062750</v>
      </c>
      <c r="M295" s="188">
        <f>M49+M54+M185-1</f>
        <v>4071579</v>
      </c>
      <c r="N295" s="188">
        <f t="shared" si="44"/>
        <v>3062750</v>
      </c>
      <c r="O295" s="188">
        <f t="shared" si="44"/>
        <v>3062750</v>
      </c>
      <c r="P295" s="188">
        <f t="shared" si="44"/>
        <v>3062750</v>
      </c>
      <c r="Q295" s="188">
        <f t="shared" si="44"/>
        <v>3062092</v>
      </c>
    </row>
    <row r="296" spans="2:28" ht="15.75" thickBot="1" x14ac:dyDescent="0.3">
      <c r="B296" s="208" t="s">
        <v>83</v>
      </c>
      <c r="C296" s="212" t="s">
        <v>69</v>
      </c>
      <c r="D296" s="209"/>
      <c r="E296" s="175">
        <f t="shared" si="42"/>
        <v>8530001</v>
      </c>
      <c r="F296" s="188">
        <f>F50+F55+F186</f>
        <v>674645</v>
      </c>
      <c r="G296" s="188">
        <f t="shared" ref="G296:Q296" si="45">G50+G55+G186</f>
        <v>674645</v>
      </c>
      <c r="H296" s="188">
        <f t="shared" si="45"/>
        <v>674645</v>
      </c>
      <c r="I296" s="188">
        <f t="shared" si="45"/>
        <v>733803</v>
      </c>
      <c r="J296" s="188">
        <f t="shared" si="45"/>
        <v>832945</v>
      </c>
      <c r="K296" s="188">
        <f t="shared" si="45"/>
        <v>674645</v>
      </c>
      <c r="L296" s="188">
        <f t="shared" si="45"/>
        <v>674645</v>
      </c>
      <c r="M296" s="188">
        <f t="shared" si="45"/>
        <v>892103</v>
      </c>
      <c r="N296" s="188">
        <f t="shared" si="45"/>
        <v>674645</v>
      </c>
      <c r="O296" s="188">
        <f t="shared" si="45"/>
        <v>674645</v>
      </c>
      <c r="P296" s="188">
        <f t="shared" si="45"/>
        <v>674645</v>
      </c>
      <c r="Q296" s="188">
        <f t="shared" si="45"/>
        <v>673990</v>
      </c>
    </row>
    <row r="297" spans="2:28" ht="15.75" thickBot="1" x14ac:dyDescent="0.3">
      <c r="B297" s="208" t="s">
        <v>82</v>
      </c>
      <c r="C297" s="212" t="s">
        <v>70</v>
      </c>
      <c r="D297" s="209"/>
      <c r="E297" s="175">
        <f t="shared" si="42"/>
        <v>1095000</v>
      </c>
      <c r="F297" s="188">
        <f>SUMIF($R$41:$R$267,$B297,$F$41:$F$267)</f>
        <v>91250</v>
      </c>
      <c r="G297" s="188">
        <f>SUMIF($R$41:$R$267,$B297,$G$41:$G$267)</f>
        <v>91250</v>
      </c>
      <c r="H297" s="188">
        <f>SUMIF($R$41:$R$267,$B297,$H$41:$H$267)</f>
        <v>91250</v>
      </c>
      <c r="I297" s="188">
        <f>SUMIF($R$41:$R$267,$B297,$I$41:$I$267)</f>
        <v>91250</v>
      </c>
      <c r="J297" s="188">
        <f>SUMIF($R$41:$R$267,$B297,$J$41:$J$267)</f>
        <v>91250</v>
      </c>
      <c r="K297" s="188">
        <f>SUMIF($R$41:$R$267,$B297,$K$41:$K$267)</f>
        <v>91250</v>
      </c>
      <c r="L297" s="188">
        <f>SUMIF($R$41:$R$267,$B297,$L$41:$L$267)</f>
        <v>91250</v>
      </c>
      <c r="M297" s="188">
        <f>SUMIF($R$41:$R$267,$B297,$M$41:$M$267)</f>
        <v>91250</v>
      </c>
      <c r="N297" s="188">
        <f>SUMIF($R$41:$R$267,$B297,$N$41:$N$267)</f>
        <v>91250</v>
      </c>
      <c r="O297" s="188">
        <f>SUMIF($R$41:$R$267,$B297,$O$41:$O$267)</f>
        <v>91250</v>
      </c>
      <c r="P297" s="188">
        <f>SUMIF($R$41:$R$267,$B297,$P$41:$P$267)</f>
        <v>91250</v>
      </c>
      <c r="Q297" s="188">
        <f>SUMIF($R$41:$R$267,$B297,$Q$41:$Q$267)</f>
        <v>91250</v>
      </c>
    </row>
    <row r="298" spans="2:28" ht="15.75" thickBot="1" x14ac:dyDescent="0.3">
      <c r="B298" s="208" t="s">
        <v>81</v>
      </c>
      <c r="C298" s="212" t="s">
        <v>32</v>
      </c>
      <c r="D298" s="209"/>
      <c r="E298" s="175">
        <f t="shared" si="42"/>
        <v>256400</v>
      </c>
      <c r="F298" s="188">
        <f>SUMIF($R$41:$R$267,$B298,$F$41:$F$267)</f>
        <v>12200</v>
      </c>
      <c r="G298" s="188">
        <f>SUMIF($R$41:$R$267,$B298,$G$41:$G$267)</f>
        <v>12200</v>
      </c>
      <c r="H298" s="188">
        <f>SUMIF($R$41:$R$267,$B298,$H$41:$H$267)</f>
        <v>12200</v>
      </c>
      <c r="I298" s="188">
        <f>SUMIF($R$41:$R$267,$B298,$I$41:$I$267)</f>
        <v>12200</v>
      </c>
      <c r="J298" s="188">
        <f>SUMIF($R$41:$R$267,$B298,$J$41:$J$267)</f>
        <v>12200</v>
      </c>
      <c r="K298" s="188">
        <f>SUMIF($R$41:$R$267,$B298,$K$41:$K$267)</f>
        <v>12200</v>
      </c>
      <c r="L298" s="188">
        <f>SUMIF($R$41:$R$267,$B298,$L$41:$L$267)</f>
        <v>12200</v>
      </c>
      <c r="M298" s="188">
        <f>SUMIF($R$41:$R$267,$B298,$M$41:$M$267)</f>
        <v>12200</v>
      </c>
      <c r="N298" s="188">
        <f>SUMIF($R$41:$R$267,$B298,$N$41:$N$267)</f>
        <v>12200</v>
      </c>
      <c r="O298" s="188">
        <f>SUMIF($R$41:$R$267,$B298,$O$41:$O$267)</f>
        <v>12200</v>
      </c>
      <c r="P298" s="188">
        <f>SUMIF($R$41:$R$267,$B298,$P$41:$P$267)</f>
        <v>122200</v>
      </c>
      <c r="Q298" s="188">
        <f>SUMIF($R$41:$R$267,$B298,$Q$41:$Q$267)</f>
        <v>12200</v>
      </c>
    </row>
    <row r="299" spans="2:28" ht="16.5" thickBot="1" x14ac:dyDescent="0.3">
      <c r="B299" s="208"/>
      <c r="C299" s="246" t="s">
        <v>80</v>
      </c>
      <c r="D299" s="209"/>
      <c r="E299" s="213">
        <f t="shared" ref="E299:Q299" si="46">E291+E295+E296+E297+E298</f>
        <v>116945385</v>
      </c>
      <c r="F299" s="213">
        <f t="shared" si="46"/>
        <v>7949321</v>
      </c>
      <c r="G299" s="213">
        <f t="shared" si="46"/>
        <v>8582130</v>
      </c>
      <c r="H299" s="213">
        <f t="shared" si="46"/>
        <v>9349980</v>
      </c>
      <c r="I299" s="213">
        <f t="shared" si="46"/>
        <v>9367706</v>
      </c>
      <c r="J299" s="213">
        <f t="shared" si="46"/>
        <v>9056417</v>
      </c>
      <c r="K299" s="213">
        <f t="shared" si="46"/>
        <v>9938395</v>
      </c>
      <c r="L299" s="213">
        <f t="shared" si="46"/>
        <v>9465057</v>
      </c>
      <c r="M299" s="213">
        <f t="shared" si="46"/>
        <v>10761747</v>
      </c>
      <c r="N299" s="213">
        <f t="shared" si="46"/>
        <v>10379309</v>
      </c>
      <c r="O299" s="213">
        <f t="shared" si="46"/>
        <v>11140315</v>
      </c>
      <c r="P299" s="213">
        <f t="shared" si="46"/>
        <v>10078391</v>
      </c>
      <c r="Q299" s="213">
        <f t="shared" si="46"/>
        <v>10876617</v>
      </c>
    </row>
    <row r="300" spans="2:28" ht="15.75" thickBot="1" x14ac:dyDescent="0.3">
      <c r="B300" s="208" t="s">
        <v>79</v>
      </c>
      <c r="C300" s="212"/>
      <c r="D300" s="165"/>
      <c r="E300" s="214">
        <f>SUM(F300:Q300)</f>
        <v>0</v>
      </c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</row>
    <row r="301" spans="2:28" x14ac:dyDescent="0.25"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</row>
    <row r="302" spans="2:28" x14ac:dyDescent="0.25"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</row>
    <row r="303" spans="2:28" x14ac:dyDescent="0.25"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</row>
    <row r="304" spans="2:28" ht="15.75" x14ac:dyDescent="0.25">
      <c r="B304" s="165"/>
      <c r="C304" s="110" t="s">
        <v>276</v>
      </c>
      <c r="D304" s="108"/>
      <c r="E304" s="108"/>
      <c r="F304" s="108"/>
      <c r="G304" s="49"/>
      <c r="H304" s="107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107" t="s">
        <v>224</v>
      </c>
    </row>
    <row r="305" spans="2:17" ht="15.75" x14ac:dyDescent="0.25">
      <c r="B305" s="165"/>
      <c r="C305" s="108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</row>
    <row r="306" spans="2:17" ht="15.75" x14ac:dyDescent="0.25">
      <c r="B306" s="165"/>
      <c r="C306" s="107" t="s">
        <v>277</v>
      </c>
      <c r="D306" s="107"/>
      <c r="E306" s="107"/>
      <c r="F306" s="107"/>
      <c r="G306" s="107"/>
      <c r="H306" s="107"/>
      <c r="I306" s="107"/>
      <c r="J306" s="165"/>
      <c r="K306" s="165"/>
      <c r="L306" s="165"/>
      <c r="M306" s="165"/>
      <c r="N306" s="165"/>
      <c r="O306" s="165"/>
      <c r="P306" s="165"/>
      <c r="Q306" s="165"/>
    </row>
    <row r="307" spans="2:17" ht="15.75" x14ac:dyDescent="0.25">
      <c r="B307" s="165"/>
      <c r="C307" s="108"/>
      <c r="D307" s="107"/>
      <c r="E307" s="107"/>
      <c r="F307" s="107"/>
      <c r="G307" s="107"/>
      <c r="H307" s="107"/>
      <c r="I307" s="107"/>
      <c r="J307" s="165"/>
      <c r="K307" s="165"/>
      <c r="L307" s="165"/>
      <c r="M307" s="165"/>
      <c r="N307" s="165"/>
      <c r="O307" s="165"/>
      <c r="P307" s="165"/>
      <c r="Q307" s="165"/>
    </row>
    <row r="308" spans="2:17" ht="15.75" x14ac:dyDescent="0.25">
      <c r="B308" s="165"/>
      <c r="C308" s="107" t="s">
        <v>278</v>
      </c>
      <c r="D308" s="107"/>
      <c r="E308" s="107"/>
      <c r="F308" s="107"/>
      <c r="G308" s="107"/>
      <c r="H308" s="107"/>
      <c r="I308" s="107"/>
      <c r="J308" s="165"/>
      <c r="K308" s="165"/>
      <c r="L308" s="165"/>
      <c r="M308" s="165"/>
      <c r="N308" s="165"/>
      <c r="O308" s="165"/>
      <c r="P308" s="165"/>
      <c r="Q308" s="165"/>
    </row>
    <row r="309" spans="2:17" x14ac:dyDescent="0.25"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</row>
    <row r="310" spans="2:17" x14ac:dyDescent="0.25"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</row>
    <row r="311" spans="2:17" x14ac:dyDescent="0.25"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</row>
    <row r="312" spans="2:17" x14ac:dyDescent="0.25"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</row>
    <row r="313" spans="2:17" x14ac:dyDescent="0.25"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</row>
    <row r="314" spans="2:17" x14ac:dyDescent="0.25"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</row>
    <row r="315" spans="2:17" x14ac:dyDescent="0.25"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</row>
    <row r="316" spans="2:17" x14ac:dyDescent="0.25"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</row>
    <row r="317" spans="2:17" x14ac:dyDescent="0.25"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</row>
    <row r="318" spans="2:17" x14ac:dyDescent="0.25"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</row>
    <row r="319" spans="2:17" x14ac:dyDescent="0.25"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</row>
    <row r="320" spans="2:17" x14ac:dyDescent="0.25"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</row>
    <row r="321" spans="2:17" x14ac:dyDescent="0.25"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</row>
    <row r="322" spans="2:17" x14ac:dyDescent="0.25"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</row>
    <row r="323" spans="2:17" x14ac:dyDescent="0.25"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</row>
  </sheetData>
  <mergeCells count="5">
    <mergeCell ref="B4:C5"/>
    <mergeCell ref="D4:E5"/>
    <mergeCell ref="F4:Q4"/>
    <mergeCell ref="B6:C6"/>
    <mergeCell ref="E2:K2"/>
  </mergeCells>
  <pageMargins left="0" right="0" top="0.74803149606299213" bottom="0.74803149606299213" header="0.31496062992125984" footer="0.31496062992125984"/>
  <pageSetup paperSize="9" scale="62" orientation="landscape" verticalDpi="0" r:id="rId1"/>
  <rowBreaks count="2" manualBreakCount="2">
    <brk id="256" max="16" man="1"/>
    <brk id="30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EM21"/>
  <sheetViews>
    <sheetView topLeftCell="B1" zoomScale="110" zoomScaleNormal="110" workbookViewId="0">
      <selection activeCell="O17" sqref="O17"/>
    </sheetView>
  </sheetViews>
  <sheetFormatPr defaultRowHeight="15" x14ac:dyDescent="0.25"/>
  <cols>
    <col min="1" max="1" width="1.85546875" style="9" hidden="1" customWidth="1"/>
    <col min="2" max="2" width="26.5703125" style="9" customWidth="1"/>
    <col min="3" max="3" width="11" style="10" customWidth="1"/>
    <col min="4" max="4" width="11" style="9" customWidth="1"/>
    <col min="5" max="5" width="8.85546875" style="9" hidden="1" customWidth="1"/>
    <col min="6" max="6" width="6.42578125" style="9" hidden="1" customWidth="1"/>
    <col min="7" max="7" width="8.28515625" style="9" customWidth="1"/>
    <col min="8" max="8" width="10" style="9" customWidth="1"/>
    <col min="9" max="9" width="6.5703125" style="9" customWidth="1"/>
    <col min="10" max="10" width="9.5703125" style="9" customWidth="1"/>
    <col min="11" max="11" width="6.7109375" style="9" customWidth="1"/>
    <col min="12" max="12" width="9.7109375" style="9" customWidth="1"/>
    <col min="13" max="13" width="6.5703125" style="9" hidden="1" customWidth="1"/>
    <col min="14" max="14" width="9.5703125" style="9" hidden="1" customWidth="1"/>
    <col min="15" max="15" width="16" style="9" customWidth="1"/>
    <col min="16" max="19" width="14.85546875" style="9" customWidth="1"/>
    <col min="20" max="20" width="16.140625" style="9" customWidth="1"/>
    <col min="21" max="21" width="6.85546875" style="9" hidden="1" customWidth="1"/>
    <col min="22" max="22" width="9.28515625" style="9" hidden="1" customWidth="1"/>
    <col min="23" max="23" width="7.42578125" style="9" hidden="1" customWidth="1"/>
    <col min="24" max="24" width="9.28515625" style="9" hidden="1" customWidth="1"/>
    <col min="25" max="25" width="0" style="9" hidden="1" customWidth="1"/>
    <col min="26" max="28" width="9.28515625" style="9" hidden="1" customWidth="1"/>
    <col min="29" max="86" width="0" style="9" hidden="1" customWidth="1"/>
    <col min="87" max="87" width="9.28515625" style="9" hidden="1" customWidth="1"/>
    <col min="88" max="88" width="11" style="9" hidden="1" customWidth="1"/>
    <col min="89" max="113" width="9.28515625" style="9" hidden="1" customWidth="1"/>
    <col min="114" max="114" width="12.140625" style="9" hidden="1" customWidth="1"/>
    <col min="115" max="127" width="9.140625" style="9" hidden="1" customWidth="1"/>
    <col min="128" max="128" width="14.7109375" style="9" hidden="1" customWidth="1"/>
    <col min="129" max="129" width="10.28515625" style="9" hidden="1" customWidth="1"/>
    <col min="130" max="140" width="9.28515625" style="9" hidden="1" customWidth="1"/>
    <col min="141" max="141" width="0" style="9" hidden="1" customWidth="1"/>
    <col min="142" max="142" width="17.42578125" style="9" customWidth="1"/>
    <col min="143" max="16384" width="9.140625" style="9"/>
  </cols>
  <sheetData>
    <row r="1" spans="1:143" ht="15.75" x14ac:dyDescent="0.25">
      <c r="K1" s="11"/>
      <c r="M1" s="9" t="e">
        <f>#REF!+Y10+AB10+CK10+CN10+CQ10+CT10+CW10+CZ10+DC10+DF10+DI10</f>
        <v>#REF!</v>
      </c>
      <c r="O1" s="12"/>
      <c r="P1" s="12"/>
      <c r="Q1" s="12"/>
      <c r="R1" s="12"/>
      <c r="S1" s="12"/>
      <c r="T1" s="12"/>
      <c r="U1" s="9">
        <f>COUNTA(U12:U21)</f>
        <v>0</v>
      </c>
      <c r="W1" s="9">
        <f>COUNTA(W12:W21)</f>
        <v>0</v>
      </c>
      <c r="Z1" s="9">
        <f>COUNTA(Z12:Z21)</f>
        <v>0</v>
      </c>
      <c r="CI1" s="9">
        <f>COUNTA(CI12:CI21)</f>
        <v>0</v>
      </c>
      <c r="CL1" s="9">
        <f>COUNTA(CL12:CL21)</f>
        <v>0</v>
      </c>
      <c r="CO1" s="9">
        <f>COUNTA(CO12:CO21)</f>
        <v>0</v>
      </c>
      <c r="CR1" s="9">
        <f>COUNTA(CR12:CR21)</f>
        <v>0</v>
      </c>
      <c r="CU1" s="9">
        <f>COUNTA(CU12:CU21)</f>
        <v>0</v>
      </c>
      <c r="CX1" s="9">
        <f>COUNTA(CX12:CX21)</f>
        <v>0</v>
      </c>
      <c r="DA1" s="9">
        <f>COUNTA(DA12:DA21)</f>
        <v>0</v>
      </c>
      <c r="DD1" s="9">
        <f>COUNTA(DD12:DD21)</f>
        <v>0</v>
      </c>
      <c r="DG1" s="9">
        <f>COUNTA(DG12:DG21)</f>
        <v>0</v>
      </c>
    </row>
    <row r="2" spans="1:143" ht="20.25" x14ac:dyDescent="0.25">
      <c r="J2" s="13"/>
      <c r="L2" s="14"/>
      <c r="N2" s="13"/>
      <c r="O2" s="15"/>
      <c r="P2" s="15"/>
      <c r="Q2" s="15"/>
      <c r="R2" s="15"/>
      <c r="S2" s="15"/>
      <c r="T2" s="15"/>
      <c r="U2" s="9" t="s">
        <v>154</v>
      </c>
      <c r="X2" s="16">
        <v>1000000</v>
      </c>
      <c r="Y2" s="9" t="s">
        <v>155</v>
      </c>
      <c r="Z2" s="17">
        <v>0.22</v>
      </c>
      <c r="DJ2" s="18" t="e">
        <f>DJ9+DK9-DX10-EK10</f>
        <v>#REF!</v>
      </c>
      <c r="DQ2" s="9" t="s">
        <v>156</v>
      </c>
      <c r="EA2" s="9" t="s">
        <v>105</v>
      </c>
    </row>
    <row r="3" spans="1:143" ht="20.25" x14ac:dyDescent="0.3">
      <c r="A3" s="327" t="s">
        <v>288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X3" s="19"/>
      <c r="Z3" s="20"/>
      <c r="DJ3" s="21"/>
    </row>
    <row r="4" spans="1:143" ht="20.25" x14ac:dyDescent="0.25">
      <c r="A4" s="142"/>
      <c r="B4" s="142"/>
      <c r="C4" s="143"/>
      <c r="D4" s="142"/>
      <c r="E4" s="142"/>
      <c r="F4" s="142"/>
      <c r="G4" s="326" t="s">
        <v>281</v>
      </c>
      <c r="H4" s="326"/>
      <c r="I4" s="326"/>
      <c r="J4" s="326"/>
      <c r="K4" s="326"/>
      <c r="L4" s="326"/>
      <c r="M4" s="326"/>
      <c r="N4" s="326"/>
      <c r="O4" s="326"/>
      <c r="P4" s="326"/>
      <c r="Q4" s="144"/>
      <c r="R4" s="144"/>
      <c r="S4" s="144"/>
      <c r="T4" s="225"/>
      <c r="X4" s="19"/>
      <c r="Z4" s="20"/>
      <c r="DJ4" s="21"/>
    </row>
    <row r="5" spans="1:143" ht="20.25" x14ac:dyDescent="0.25">
      <c r="A5" s="142"/>
      <c r="B5" s="142"/>
      <c r="C5" s="143"/>
      <c r="D5" s="142"/>
      <c r="E5" s="142"/>
      <c r="F5" s="142"/>
      <c r="G5" s="143"/>
      <c r="H5" s="143"/>
      <c r="I5" s="143"/>
      <c r="J5" s="143"/>
      <c r="K5" s="143"/>
      <c r="L5" s="143"/>
      <c r="M5" s="143"/>
      <c r="N5" s="143"/>
      <c r="O5" s="143"/>
      <c r="P5" s="144"/>
      <c r="Q5" s="144"/>
      <c r="R5" s="144"/>
      <c r="S5" s="144"/>
      <c r="T5" s="225" t="s">
        <v>168</v>
      </c>
      <c r="X5" s="19"/>
      <c r="Z5" s="20"/>
      <c r="DJ5" s="21"/>
    </row>
    <row r="6" spans="1:143" ht="12.75" customHeight="1" x14ac:dyDescent="0.25">
      <c r="A6" s="328" t="s">
        <v>157</v>
      </c>
      <c r="B6" s="331" t="s">
        <v>158</v>
      </c>
      <c r="C6" s="334" t="s">
        <v>159</v>
      </c>
      <c r="D6" s="342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4"/>
    </row>
    <row r="7" spans="1:143" ht="37.5" customHeight="1" x14ac:dyDescent="0.25">
      <c r="A7" s="329"/>
      <c r="B7" s="332"/>
      <c r="C7" s="335" t="s">
        <v>160</v>
      </c>
      <c r="D7" s="334" t="s">
        <v>161</v>
      </c>
      <c r="E7" s="160"/>
      <c r="F7" s="160"/>
      <c r="G7" s="337" t="s">
        <v>162</v>
      </c>
      <c r="H7" s="338"/>
      <c r="I7" s="337" t="s">
        <v>163</v>
      </c>
      <c r="J7" s="338"/>
      <c r="K7" s="337" t="s">
        <v>164</v>
      </c>
      <c r="L7" s="338"/>
      <c r="M7" s="337" t="s">
        <v>165</v>
      </c>
      <c r="N7" s="338"/>
      <c r="O7" s="339" t="s">
        <v>166</v>
      </c>
      <c r="P7" s="339" t="s">
        <v>223</v>
      </c>
      <c r="Q7" s="323" t="s">
        <v>221</v>
      </c>
      <c r="R7" s="323" t="s">
        <v>220</v>
      </c>
      <c r="S7" s="323" t="s">
        <v>269</v>
      </c>
      <c r="T7" s="323" t="s">
        <v>222</v>
      </c>
      <c r="U7" s="345">
        <v>1</v>
      </c>
      <c r="V7" s="345"/>
      <c r="W7" s="345">
        <v>2</v>
      </c>
      <c r="X7" s="345"/>
      <c r="Y7" s="345"/>
      <c r="Z7" s="345">
        <v>3</v>
      </c>
      <c r="AA7" s="345"/>
      <c r="AB7" s="345"/>
      <c r="AC7" s="345">
        <v>4</v>
      </c>
      <c r="AD7" s="345"/>
      <c r="AE7" s="345"/>
      <c r="AF7" s="345">
        <v>5</v>
      </c>
      <c r="AG7" s="345"/>
      <c r="AH7" s="345"/>
      <c r="AI7" s="345">
        <v>6</v>
      </c>
      <c r="AJ7" s="345"/>
      <c r="AK7" s="345"/>
      <c r="AL7" s="345">
        <v>7</v>
      </c>
      <c r="AM7" s="345"/>
      <c r="AN7" s="345"/>
      <c r="AO7" s="345">
        <v>8</v>
      </c>
      <c r="AP7" s="345"/>
      <c r="AQ7" s="345"/>
      <c r="AR7" s="345">
        <v>9</v>
      </c>
      <c r="AS7" s="345"/>
      <c r="AT7" s="345"/>
      <c r="AU7" s="345">
        <v>10</v>
      </c>
      <c r="AV7" s="345"/>
      <c r="AW7" s="345"/>
      <c r="AX7" s="345">
        <v>11</v>
      </c>
      <c r="AY7" s="345"/>
      <c r="AZ7" s="345"/>
      <c r="BA7" s="345">
        <v>12</v>
      </c>
      <c r="BB7" s="345"/>
      <c r="BC7" s="345"/>
      <c r="BD7" s="345" t="s">
        <v>167</v>
      </c>
      <c r="BE7" s="345"/>
      <c r="BF7" s="345"/>
      <c r="CI7" s="345">
        <v>4</v>
      </c>
      <c r="CJ7" s="345"/>
      <c r="CK7" s="345"/>
      <c r="CL7" s="345">
        <v>5</v>
      </c>
      <c r="CM7" s="345"/>
      <c r="CN7" s="345"/>
      <c r="CO7" s="345">
        <v>6</v>
      </c>
      <c r="CP7" s="345"/>
      <c r="CQ7" s="345"/>
      <c r="CR7" s="345">
        <v>7</v>
      </c>
      <c r="CS7" s="345"/>
      <c r="CT7" s="345"/>
      <c r="CU7" s="345">
        <v>8</v>
      </c>
      <c r="CV7" s="345"/>
      <c r="CW7" s="345"/>
      <c r="CX7" s="345">
        <v>9</v>
      </c>
      <c r="CY7" s="345"/>
      <c r="CZ7" s="345"/>
      <c r="DA7" s="345">
        <v>10</v>
      </c>
      <c r="DB7" s="345"/>
      <c r="DC7" s="345"/>
      <c r="DD7" s="345">
        <v>11</v>
      </c>
      <c r="DE7" s="345"/>
      <c r="DF7" s="345"/>
      <c r="DG7" s="345">
        <v>12</v>
      </c>
      <c r="DH7" s="345"/>
      <c r="DI7" s="345"/>
      <c r="DL7" s="22">
        <v>1</v>
      </c>
      <c r="DM7" s="22">
        <v>2</v>
      </c>
      <c r="DN7" s="22">
        <v>3</v>
      </c>
      <c r="DO7" s="22">
        <v>4</v>
      </c>
      <c r="DP7" s="22">
        <v>5</v>
      </c>
      <c r="DQ7" s="22">
        <v>6</v>
      </c>
      <c r="DR7" s="22">
        <v>7</v>
      </c>
      <c r="DS7" s="22">
        <v>8</v>
      </c>
      <c r="DT7" s="22">
        <v>9</v>
      </c>
      <c r="DU7" s="22">
        <v>10</v>
      </c>
      <c r="DV7" s="22">
        <v>11</v>
      </c>
      <c r="DW7" s="22">
        <v>12</v>
      </c>
      <c r="DY7" s="22">
        <v>1</v>
      </c>
      <c r="DZ7" s="22">
        <v>2</v>
      </c>
      <c r="EA7" s="22">
        <v>3</v>
      </c>
      <c r="EB7" s="22">
        <v>4</v>
      </c>
      <c r="EC7" s="22">
        <v>5</v>
      </c>
      <c r="ED7" s="22">
        <v>6</v>
      </c>
      <c r="EE7" s="22">
        <v>7</v>
      </c>
      <c r="EF7" s="22">
        <v>8</v>
      </c>
      <c r="EG7" s="22">
        <v>9</v>
      </c>
      <c r="EH7" s="22">
        <v>10</v>
      </c>
      <c r="EI7" s="22">
        <v>11</v>
      </c>
      <c r="EJ7" s="22">
        <v>12</v>
      </c>
      <c r="EL7" s="322"/>
    </row>
    <row r="8" spans="1:143" ht="12.75" customHeight="1" x14ac:dyDescent="0.25">
      <c r="A8" s="329"/>
      <c r="B8" s="332"/>
      <c r="C8" s="335"/>
      <c r="D8" s="335"/>
      <c r="E8" s="334" t="s">
        <v>168</v>
      </c>
      <c r="F8" s="334" t="s">
        <v>168</v>
      </c>
      <c r="G8" s="334" t="s">
        <v>169</v>
      </c>
      <c r="H8" s="334" t="s">
        <v>168</v>
      </c>
      <c r="I8" s="334" t="s">
        <v>169</v>
      </c>
      <c r="J8" s="334" t="s">
        <v>168</v>
      </c>
      <c r="K8" s="334" t="s">
        <v>169</v>
      </c>
      <c r="L8" s="334" t="s">
        <v>168</v>
      </c>
      <c r="M8" s="334" t="s">
        <v>169</v>
      </c>
      <c r="N8" s="334" t="s">
        <v>168</v>
      </c>
      <c r="O8" s="340"/>
      <c r="P8" s="340"/>
      <c r="Q8" s="324"/>
      <c r="R8" s="324"/>
      <c r="S8" s="324"/>
      <c r="T8" s="324"/>
      <c r="U8" s="348" t="s">
        <v>170</v>
      </c>
      <c r="V8" s="346" t="s">
        <v>171</v>
      </c>
      <c r="W8" s="346" t="s">
        <v>170</v>
      </c>
      <c r="X8" s="346" t="s">
        <v>171</v>
      </c>
      <c r="Y8" s="346" t="s">
        <v>172</v>
      </c>
      <c r="Z8" s="346" t="s">
        <v>170</v>
      </c>
      <c r="AA8" s="346" t="s">
        <v>171</v>
      </c>
      <c r="AB8" s="321" t="s">
        <v>172</v>
      </c>
      <c r="AC8" s="346" t="s">
        <v>173</v>
      </c>
      <c r="AD8" s="346" t="s">
        <v>171</v>
      </c>
      <c r="AE8" s="346" t="s">
        <v>172</v>
      </c>
      <c r="AF8" s="346" t="s">
        <v>173</v>
      </c>
      <c r="AG8" s="346" t="s">
        <v>171</v>
      </c>
      <c r="AH8" s="346" t="s">
        <v>172</v>
      </c>
      <c r="AI8" s="346" t="s">
        <v>173</v>
      </c>
      <c r="AJ8" s="346" t="s">
        <v>171</v>
      </c>
      <c r="AK8" s="346" t="s">
        <v>172</v>
      </c>
      <c r="AL8" s="346" t="s">
        <v>173</v>
      </c>
      <c r="AM8" s="346" t="s">
        <v>171</v>
      </c>
      <c r="AN8" s="346" t="s">
        <v>172</v>
      </c>
      <c r="AO8" s="346" t="s">
        <v>173</v>
      </c>
      <c r="AP8" s="346" t="s">
        <v>171</v>
      </c>
      <c r="AQ8" s="346" t="s">
        <v>172</v>
      </c>
      <c r="AR8" s="346" t="s">
        <v>173</v>
      </c>
      <c r="AS8" s="346" t="s">
        <v>171</v>
      </c>
      <c r="AT8" s="346" t="s">
        <v>172</v>
      </c>
      <c r="AU8" s="346" t="s">
        <v>173</v>
      </c>
      <c r="AV8" s="346" t="s">
        <v>171</v>
      </c>
      <c r="AW8" s="346" t="s">
        <v>172</v>
      </c>
      <c r="AX8" s="346" t="s">
        <v>173</v>
      </c>
      <c r="AY8" s="346" t="s">
        <v>171</v>
      </c>
      <c r="AZ8" s="346" t="s">
        <v>172</v>
      </c>
      <c r="BA8" s="346" t="s">
        <v>173</v>
      </c>
      <c r="BB8" s="346" t="s">
        <v>171</v>
      </c>
      <c r="BC8" s="346" t="s">
        <v>172</v>
      </c>
      <c r="BD8" s="346"/>
      <c r="BE8" s="346" t="s">
        <v>171</v>
      </c>
      <c r="BF8" s="321" t="s">
        <v>172</v>
      </c>
      <c r="CI8" s="346" t="s">
        <v>170</v>
      </c>
      <c r="CJ8" s="346" t="s">
        <v>171</v>
      </c>
      <c r="CK8" s="321" t="s">
        <v>172</v>
      </c>
      <c r="CL8" s="346" t="s">
        <v>170</v>
      </c>
      <c r="CM8" s="346" t="s">
        <v>171</v>
      </c>
      <c r="CN8" s="321" t="s">
        <v>172</v>
      </c>
      <c r="CO8" s="346" t="s">
        <v>170</v>
      </c>
      <c r="CP8" s="346" t="s">
        <v>171</v>
      </c>
      <c r="CQ8" s="321" t="s">
        <v>172</v>
      </c>
      <c r="CR8" s="346" t="s">
        <v>170</v>
      </c>
      <c r="CS8" s="346" t="s">
        <v>171</v>
      </c>
      <c r="CT8" s="321" t="s">
        <v>172</v>
      </c>
      <c r="CU8" s="346" t="s">
        <v>170</v>
      </c>
      <c r="CV8" s="346" t="s">
        <v>171</v>
      </c>
      <c r="CW8" s="321" t="s">
        <v>172</v>
      </c>
      <c r="CX8" s="346" t="s">
        <v>170</v>
      </c>
      <c r="CY8" s="346" t="s">
        <v>171</v>
      </c>
      <c r="CZ8" s="321" t="s">
        <v>172</v>
      </c>
      <c r="DA8" s="346" t="s">
        <v>170</v>
      </c>
      <c r="DB8" s="346" t="s">
        <v>171</v>
      </c>
      <c r="DC8" s="321" t="s">
        <v>172</v>
      </c>
      <c r="DD8" s="346" t="s">
        <v>170</v>
      </c>
      <c r="DE8" s="346" t="s">
        <v>171</v>
      </c>
      <c r="DF8" s="321" t="s">
        <v>172</v>
      </c>
      <c r="DG8" s="346" t="s">
        <v>170</v>
      </c>
      <c r="DH8" s="346" t="s">
        <v>171</v>
      </c>
      <c r="DI8" s="321" t="s">
        <v>172</v>
      </c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L8" s="322"/>
    </row>
    <row r="9" spans="1:143" ht="24" customHeight="1" x14ac:dyDescent="0.25">
      <c r="A9" s="330"/>
      <c r="B9" s="333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41"/>
      <c r="P9" s="341"/>
      <c r="Q9" s="325"/>
      <c r="R9" s="325"/>
      <c r="S9" s="325"/>
      <c r="T9" s="325"/>
      <c r="U9" s="349"/>
      <c r="V9" s="347" t="s">
        <v>174</v>
      </c>
      <c r="W9" s="347"/>
      <c r="X9" s="347" t="s">
        <v>174</v>
      </c>
      <c r="Y9" s="347" t="s">
        <v>175</v>
      </c>
      <c r="Z9" s="347"/>
      <c r="AA9" s="347" t="s">
        <v>174</v>
      </c>
      <c r="AB9" s="321" t="s">
        <v>175</v>
      </c>
      <c r="AC9" s="347"/>
      <c r="AD9" s="347" t="s">
        <v>174</v>
      </c>
      <c r="AE9" s="347" t="s">
        <v>175</v>
      </c>
      <c r="AF9" s="347"/>
      <c r="AG9" s="347" t="s">
        <v>174</v>
      </c>
      <c r="AH9" s="347" t="s">
        <v>175</v>
      </c>
      <c r="AI9" s="347"/>
      <c r="AJ9" s="347" t="s">
        <v>174</v>
      </c>
      <c r="AK9" s="347" t="s">
        <v>175</v>
      </c>
      <c r="AL9" s="347"/>
      <c r="AM9" s="347" t="s">
        <v>174</v>
      </c>
      <c r="AN9" s="347" t="s">
        <v>175</v>
      </c>
      <c r="AO9" s="347"/>
      <c r="AP9" s="347" t="s">
        <v>174</v>
      </c>
      <c r="AQ9" s="347" t="s">
        <v>175</v>
      </c>
      <c r="AR9" s="347"/>
      <c r="AS9" s="347" t="s">
        <v>174</v>
      </c>
      <c r="AT9" s="347" t="s">
        <v>175</v>
      </c>
      <c r="AU9" s="347"/>
      <c r="AV9" s="347" t="s">
        <v>174</v>
      </c>
      <c r="AW9" s="347" t="s">
        <v>175</v>
      </c>
      <c r="AX9" s="347"/>
      <c r="AY9" s="347" t="s">
        <v>174</v>
      </c>
      <c r="AZ9" s="347" t="s">
        <v>175</v>
      </c>
      <c r="BA9" s="347"/>
      <c r="BB9" s="347" t="s">
        <v>174</v>
      </c>
      <c r="BC9" s="347" t="s">
        <v>175</v>
      </c>
      <c r="BD9" s="347"/>
      <c r="BE9" s="347" t="s">
        <v>174</v>
      </c>
      <c r="BF9" s="321" t="s">
        <v>175</v>
      </c>
      <c r="BG9" s="9" t="s">
        <v>152</v>
      </c>
      <c r="CI9" s="347"/>
      <c r="CJ9" s="347" t="s">
        <v>174</v>
      </c>
      <c r="CK9" s="321" t="s">
        <v>175</v>
      </c>
      <c r="CL9" s="347"/>
      <c r="CM9" s="347" t="s">
        <v>174</v>
      </c>
      <c r="CN9" s="321" t="s">
        <v>175</v>
      </c>
      <c r="CO9" s="347"/>
      <c r="CP9" s="347" t="s">
        <v>174</v>
      </c>
      <c r="CQ9" s="321" t="s">
        <v>175</v>
      </c>
      <c r="CR9" s="347"/>
      <c r="CS9" s="347" t="s">
        <v>174</v>
      </c>
      <c r="CT9" s="321" t="s">
        <v>175</v>
      </c>
      <c r="CU9" s="347"/>
      <c r="CV9" s="347" t="s">
        <v>174</v>
      </c>
      <c r="CW9" s="321" t="s">
        <v>175</v>
      </c>
      <c r="CX9" s="347"/>
      <c r="CY9" s="347" t="s">
        <v>174</v>
      </c>
      <c r="CZ9" s="321" t="s">
        <v>175</v>
      </c>
      <c r="DA9" s="347"/>
      <c r="DB9" s="347" t="s">
        <v>174</v>
      </c>
      <c r="DC9" s="321" t="s">
        <v>175</v>
      </c>
      <c r="DD9" s="347"/>
      <c r="DE9" s="347" t="s">
        <v>174</v>
      </c>
      <c r="DF9" s="321" t="s">
        <v>175</v>
      </c>
      <c r="DG9" s="347"/>
      <c r="DH9" s="347" t="s">
        <v>174</v>
      </c>
      <c r="DI9" s="321" t="s">
        <v>175</v>
      </c>
      <c r="DJ9" s="11">
        <f>V10+X10+AA10+CJ10+CM10+CP10+CS10+CV10+CY10+DB10+DE10+DH10</f>
        <v>0</v>
      </c>
      <c r="DK9" s="11" t="e">
        <f>#REF!+Y10+AB10+CK10+CN10+CQ10+CT10+CW10+CZ10+DC10+DF10+DI10</f>
        <v>#REF!</v>
      </c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L9" s="322"/>
    </row>
    <row r="10" spans="1:143" ht="30" customHeight="1" x14ac:dyDescent="0.25">
      <c r="A10" s="145"/>
      <c r="B10" s="161" t="s">
        <v>176</v>
      </c>
      <c r="C10" s="162">
        <f>SUM(C11,C12,C13)</f>
        <v>235</v>
      </c>
      <c r="D10" s="162">
        <f>SUM(D11,D12,D13)</f>
        <v>2051279</v>
      </c>
      <c r="E10" s="162" t="e">
        <f>SUM(E12:E21)</f>
        <v>#REF!</v>
      </c>
      <c r="F10" s="162" t="e">
        <f>SUM(F12:F21)</f>
        <v>#REF!</v>
      </c>
      <c r="G10" s="162"/>
      <c r="H10" s="162">
        <f>SUM(H11,H12,H13)</f>
        <v>1025639.5</v>
      </c>
      <c r="I10" s="162"/>
      <c r="J10" s="163">
        <f>SUM(J11,J12,J13)</f>
        <v>813720</v>
      </c>
      <c r="K10" s="162"/>
      <c r="L10" s="162">
        <f>SUM(L11,L12,L13)</f>
        <v>48000</v>
      </c>
      <c r="M10" s="162"/>
      <c r="N10" s="162">
        <f>SUM(N12:N21)</f>
        <v>0</v>
      </c>
      <c r="O10" s="163">
        <f>SUM(O11,O12,O13)</f>
        <v>3938638.5</v>
      </c>
      <c r="P10" s="164"/>
      <c r="Q10" s="163">
        <f>SUM(Q11,Q12,Q13)</f>
        <v>47263662</v>
      </c>
      <c r="R10" s="163">
        <f>SUM(R11,R12,R13)</f>
        <v>1991279</v>
      </c>
      <c r="S10" s="163">
        <f>SUM(S11,S12,S13)</f>
        <v>795558</v>
      </c>
      <c r="T10" s="163">
        <f>SUM(T11,T12,T13)</f>
        <v>50050501</v>
      </c>
      <c r="U10" s="23">
        <f t="shared" ref="U10:BF10" si="0">SUM(U12:U21)</f>
        <v>0</v>
      </c>
      <c r="V10" s="23">
        <f t="shared" si="0"/>
        <v>0</v>
      </c>
      <c r="W10" s="23">
        <f t="shared" si="0"/>
        <v>0</v>
      </c>
      <c r="X10" s="23">
        <f t="shared" si="0"/>
        <v>0</v>
      </c>
      <c r="Y10" s="23">
        <f t="shared" si="0"/>
        <v>0</v>
      </c>
      <c r="Z10" s="23">
        <f t="shared" si="0"/>
        <v>0</v>
      </c>
      <c r="AA10" s="24">
        <f t="shared" si="0"/>
        <v>0</v>
      </c>
      <c r="AB10" s="23">
        <f t="shared" si="0"/>
        <v>0</v>
      </c>
      <c r="AC10" s="23">
        <f t="shared" si="0"/>
        <v>0</v>
      </c>
      <c r="AD10" s="23">
        <f t="shared" si="0"/>
        <v>0</v>
      </c>
      <c r="AE10" s="23">
        <f t="shared" si="0"/>
        <v>0</v>
      </c>
      <c r="AF10" s="23">
        <f t="shared" si="0"/>
        <v>0</v>
      </c>
      <c r="AG10" s="23">
        <f t="shared" si="0"/>
        <v>0</v>
      </c>
      <c r="AH10" s="23">
        <f t="shared" si="0"/>
        <v>0</v>
      </c>
      <c r="AI10" s="23">
        <f t="shared" si="0"/>
        <v>0</v>
      </c>
      <c r="AJ10" s="23">
        <f t="shared" si="0"/>
        <v>0</v>
      </c>
      <c r="AK10" s="23">
        <f t="shared" si="0"/>
        <v>0</v>
      </c>
      <c r="AL10" s="23">
        <f t="shared" si="0"/>
        <v>0</v>
      </c>
      <c r="AM10" s="23">
        <f t="shared" si="0"/>
        <v>0</v>
      </c>
      <c r="AN10" s="23">
        <f t="shared" si="0"/>
        <v>0</v>
      </c>
      <c r="AO10" s="23">
        <f t="shared" si="0"/>
        <v>0</v>
      </c>
      <c r="AP10" s="23">
        <f t="shared" si="0"/>
        <v>0</v>
      </c>
      <c r="AQ10" s="23">
        <f t="shared" si="0"/>
        <v>0</v>
      </c>
      <c r="AR10" s="23">
        <f t="shared" si="0"/>
        <v>0</v>
      </c>
      <c r="AS10" s="23">
        <f t="shared" si="0"/>
        <v>0</v>
      </c>
      <c r="AT10" s="23">
        <f t="shared" si="0"/>
        <v>0</v>
      </c>
      <c r="AU10" s="23">
        <f t="shared" si="0"/>
        <v>0</v>
      </c>
      <c r="AV10" s="23">
        <f t="shared" si="0"/>
        <v>0</v>
      </c>
      <c r="AW10" s="23">
        <f t="shared" si="0"/>
        <v>0</v>
      </c>
      <c r="AX10" s="23">
        <f t="shared" si="0"/>
        <v>0</v>
      </c>
      <c r="AY10" s="23">
        <f t="shared" si="0"/>
        <v>0</v>
      </c>
      <c r="AZ10" s="23">
        <f t="shared" si="0"/>
        <v>0</v>
      </c>
      <c r="BA10" s="23">
        <f t="shared" si="0"/>
        <v>0</v>
      </c>
      <c r="BB10" s="23">
        <f t="shared" si="0"/>
        <v>0</v>
      </c>
      <c r="BC10" s="23">
        <f t="shared" si="0"/>
        <v>0</v>
      </c>
      <c r="BD10" s="23">
        <f t="shared" si="0"/>
        <v>0</v>
      </c>
      <c r="BE10" s="23">
        <f t="shared" si="0"/>
        <v>0</v>
      </c>
      <c r="BF10" s="23">
        <f t="shared" si="0"/>
        <v>0</v>
      </c>
      <c r="BG10" s="23">
        <f>BE10+BF10</f>
        <v>0</v>
      </c>
      <c r="BH10" s="25" t="e">
        <f>BE10-([2]БДР1!#REF!+#REF!+#REF!+#REF!)</f>
        <v>#REF!</v>
      </c>
      <c r="BI10" s="25" t="e">
        <f>BF10-([2]БДР1!#REF!+#REF!+#REF!+#REF!)</f>
        <v>#REF!</v>
      </c>
      <c r="BJ10" s="23">
        <f t="shared" ref="BJ10:BU10" si="1">SUM(BJ12:BJ21)</f>
        <v>0</v>
      </c>
      <c r="BK10" s="23">
        <f t="shared" si="1"/>
        <v>0</v>
      </c>
      <c r="BL10" s="23">
        <f t="shared" si="1"/>
        <v>0</v>
      </c>
      <c r="BM10" s="23">
        <f t="shared" si="1"/>
        <v>0</v>
      </c>
      <c r="BN10" s="23">
        <f t="shared" si="1"/>
        <v>0</v>
      </c>
      <c r="BO10" s="23">
        <f t="shared" si="1"/>
        <v>0</v>
      </c>
      <c r="BP10" s="23">
        <f t="shared" si="1"/>
        <v>0</v>
      </c>
      <c r="BQ10" s="23">
        <f t="shared" si="1"/>
        <v>0</v>
      </c>
      <c r="BR10" s="23">
        <f t="shared" si="1"/>
        <v>0</v>
      </c>
      <c r="BS10" s="23">
        <f t="shared" si="1"/>
        <v>0</v>
      </c>
      <c r="BT10" s="23">
        <f t="shared" si="1"/>
        <v>0</v>
      </c>
      <c r="BU10" s="23">
        <f t="shared" si="1"/>
        <v>0</v>
      </c>
      <c r="BV10" s="26">
        <f>SUM(BJ10:BU10)</f>
        <v>0</v>
      </c>
      <c r="CI10" s="23">
        <f t="shared" ref="CI10:DI10" si="2">SUM(CI12:CI21)</f>
        <v>0</v>
      </c>
      <c r="CJ10" s="23">
        <f t="shared" si="2"/>
        <v>0</v>
      </c>
      <c r="CK10" s="23">
        <f t="shared" si="2"/>
        <v>0</v>
      </c>
      <c r="CL10" s="23">
        <f t="shared" si="2"/>
        <v>0</v>
      </c>
      <c r="CM10" s="23">
        <f t="shared" si="2"/>
        <v>0</v>
      </c>
      <c r="CN10" s="23">
        <f t="shared" si="2"/>
        <v>0</v>
      </c>
      <c r="CO10" s="23">
        <f t="shared" si="2"/>
        <v>0</v>
      </c>
      <c r="CP10" s="23">
        <f t="shared" si="2"/>
        <v>0</v>
      </c>
      <c r="CQ10" s="23">
        <f t="shared" si="2"/>
        <v>0</v>
      </c>
      <c r="CR10" s="23">
        <f t="shared" si="2"/>
        <v>0</v>
      </c>
      <c r="CS10" s="23">
        <f t="shared" si="2"/>
        <v>0</v>
      </c>
      <c r="CT10" s="23">
        <f t="shared" si="2"/>
        <v>0</v>
      </c>
      <c r="CU10" s="23">
        <f t="shared" si="2"/>
        <v>0</v>
      </c>
      <c r="CV10" s="23">
        <f t="shared" si="2"/>
        <v>0</v>
      </c>
      <c r="CW10" s="23">
        <f t="shared" si="2"/>
        <v>0</v>
      </c>
      <c r="CX10" s="23">
        <f t="shared" si="2"/>
        <v>0</v>
      </c>
      <c r="CY10" s="23">
        <f t="shared" si="2"/>
        <v>0</v>
      </c>
      <c r="CZ10" s="23">
        <f t="shared" si="2"/>
        <v>0</v>
      </c>
      <c r="DA10" s="23">
        <f t="shared" si="2"/>
        <v>0</v>
      </c>
      <c r="DB10" s="23">
        <f t="shared" si="2"/>
        <v>0</v>
      </c>
      <c r="DC10" s="23">
        <f t="shared" si="2"/>
        <v>0</v>
      </c>
      <c r="DD10" s="23">
        <f t="shared" si="2"/>
        <v>0</v>
      </c>
      <c r="DE10" s="23">
        <f t="shared" si="2"/>
        <v>0</v>
      </c>
      <c r="DF10" s="23">
        <f t="shared" si="2"/>
        <v>0</v>
      </c>
      <c r="DG10" s="23">
        <f t="shared" si="2"/>
        <v>0</v>
      </c>
      <c r="DH10" s="23">
        <f t="shared" si="2"/>
        <v>0</v>
      </c>
      <c r="DI10" s="23">
        <f t="shared" si="2"/>
        <v>0</v>
      </c>
      <c r="DJ10" s="11" t="e">
        <f>(#REF!+#REF!+#REF!+#REF!+#REF!+#REF!+#REF!+#REF!+#REF!+#REF!+#REF!+#REF!)/12</f>
        <v>#REF!</v>
      </c>
      <c r="DK10" s="11"/>
      <c r="DL10" s="23">
        <f t="shared" ref="DL10:DW10" si="3">SUM(DL12:DL21)</f>
        <v>0</v>
      </c>
      <c r="DM10" s="23">
        <f t="shared" si="3"/>
        <v>0</v>
      </c>
      <c r="DN10" s="23">
        <f t="shared" si="3"/>
        <v>0</v>
      </c>
      <c r="DO10" s="23">
        <f t="shared" si="3"/>
        <v>0</v>
      </c>
      <c r="DP10" s="23">
        <f t="shared" si="3"/>
        <v>0</v>
      </c>
      <c r="DQ10" s="23">
        <f t="shared" si="3"/>
        <v>0</v>
      </c>
      <c r="DR10" s="23">
        <f t="shared" si="3"/>
        <v>0</v>
      </c>
      <c r="DS10" s="23">
        <f t="shared" si="3"/>
        <v>0</v>
      </c>
      <c r="DT10" s="23">
        <f t="shared" si="3"/>
        <v>0</v>
      </c>
      <c r="DU10" s="23">
        <f t="shared" si="3"/>
        <v>0</v>
      </c>
      <c r="DV10" s="23">
        <f t="shared" si="3"/>
        <v>0</v>
      </c>
      <c r="DW10" s="23">
        <f t="shared" si="3"/>
        <v>0</v>
      </c>
      <c r="DX10" s="27">
        <f>SUM(DL10:DW10)</f>
        <v>0</v>
      </c>
      <c r="DY10" s="23">
        <f t="shared" ref="DY10:EJ10" si="4">SUM(DY12:DY21)</f>
        <v>0</v>
      </c>
      <c r="DZ10" s="23">
        <f t="shared" si="4"/>
        <v>0</v>
      </c>
      <c r="EA10" s="23">
        <f t="shared" si="4"/>
        <v>0</v>
      </c>
      <c r="EB10" s="23">
        <f t="shared" si="4"/>
        <v>0</v>
      </c>
      <c r="EC10" s="23">
        <f t="shared" si="4"/>
        <v>0</v>
      </c>
      <c r="ED10" s="23">
        <f t="shared" si="4"/>
        <v>0</v>
      </c>
      <c r="EE10" s="23">
        <f t="shared" si="4"/>
        <v>0</v>
      </c>
      <c r="EF10" s="23">
        <f t="shared" si="4"/>
        <v>0</v>
      </c>
      <c r="EG10" s="23">
        <f t="shared" si="4"/>
        <v>0</v>
      </c>
      <c r="EH10" s="23">
        <f t="shared" si="4"/>
        <v>0</v>
      </c>
      <c r="EI10" s="23">
        <f t="shared" si="4"/>
        <v>0</v>
      </c>
      <c r="EJ10" s="23">
        <f t="shared" si="4"/>
        <v>0</v>
      </c>
      <c r="EK10" s="27">
        <f>SUM(DY10:EJ10)</f>
        <v>0</v>
      </c>
    </row>
    <row r="11" spans="1:143" ht="31.5" x14ac:dyDescent="0.3">
      <c r="A11" s="145"/>
      <c r="B11" s="146" t="s">
        <v>177</v>
      </c>
      <c r="C11" s="147">
        <v>23</v>
      </c>
      <c r="D11" s="147">
        <v>323689</v>
      </c>
      <c r="E11" s="147"/>
      <c r="F11" s="147"/>
      <c r="G11" s="147">
        <v>50</v>
      </c>
      <c r="H11" s="148">
        <f>D11*50%</f>
        <v>161844.5</v>
      </c>
      <c r="I11" s="147"/>
      <c r="J11" s="148">
        <f>4000*12</f>
        <v>48000</v>
      </c>
      <c r="K11" s="147"/>
      <c r="L11" s="147"/>
      <c r="M11" s="147"/>
      <c r="N11" s="147"/>
      <c r="O11" s="148">
        <f>D11+H11+J11+L11</f>
        <v>533533.5</v>
      </c>
      <c r="P11" s="231">
        <f>Q11/12/O11</f>
        <v>1</v>
      </c>
      <c r="Q11" s="223">
        <f>O11*12</f>
        <v>6402402</v>
      </c>
      <c r="R11" s="223">
        <f>363689</f>
        <v>363689</v>
      </c>
      <c r="S11" s="223">
        <f>50000+162900</f>
        <v>212900</v>
      </c>
      <c r="T11" s="223">
        <f>Q11+R11+S11</f>
        <v>6978991</v>
      </c>
      <c r="U11" s="23"/>
      <c r="V11" s="23"/>
      <c r="W11" s="23"/>
      <c r="X11" s="23"/>
      <c r="Y11" s="23"/>
      <c r="Z11" s="23"/>
      <c r="AA11" s="24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8"/>
      <c r="BH11" s="29"/>
      <c r="BI11" s="29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8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31" t="e">
        <f>SUM(#REF!)</f>
        <v>#REF!</v>
      </c>
      <c r="DK11" s="11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32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32"/>
    </row>
    <row r="12" spans="1:143" ht="31.5" x14ac:dyDescent="0.25">
      <c r="A12" s="149"/>
      <c r="B12" s="146" t="s">
        <v>178</v>
      </c>
      <c r="C12" s="147">
        <v>17</v>
      </c>
      <c r="D12" s="147">
        <v>213365</v>
      </c>
      <c r="E12" s="147"/>
      <c r="F12" s="147"/>
      <c r="G12" s="147">
        <v>50</v>
      </c>
      <c r="H12" s="148">
        <f t="shared" ref="H12" si="5">D12*50%</f>
        <v>106682.5</v>
      </c>
      <c r="I12" s="152"/>
      <c r="J12" s="151"/>
      <c r="K12" s="152"/>
      <c r="L12" s="270">
        <f>4000*12</f>
        <v>48000</v>
      </c>
      <c r="M12" s="150"/>
      <c r="N12" s="151"/>
      <c r="O12" s="148">
        <f>D12+H12+J12+L12</f>
        <v>368047.5</v>
      </c>
      <c r="P12" s="231">
        <f t="shared" ref="P12" si="6">Q12/12/O12</f>
        <v>1</v>
      </c>
      <c r="Q12" s="223">
        <f t="shared" ref="Q12" si="7">O12*12</f>
        <v>4416570</v>
      </c>
      <c r="R12" s="224">
        <v>213365</v>
      </c>
      <c r="S12" s="224">
        <f>130000+29720</f>
        <v>159720</v>
      </c>
      <c r="T12" s="223">
        <f>Q12+R12+S12</f>
        <v>4789655</v>
      </c>
      <c r="U12" s="16"/>
      <c r="V12" s="33"/>
      <c r="W12" s="16"/>
      <c r="X12" s="33"/>
      <c r="Y12" s="33"/>
      <c r="Z12" s="16"/>
      <c r="AA12" s="33"/>
      <c r="AB12" s="33"/>
      <c r="AC12" s="16"/>
      <c r="AD12" s="33"/>
      <c r="AE12" s="33"/>
      <c r="AF12" s="16"/>
      <c r="AG12" s="33"/>
      <c r="AH12" s="33"/>
      <c r="AI12" s="16"/>
      <c r="AJ12" s="33"/>
      <c r="AK12" s="33"/>
      <c r="AL12" s="16"/>
      <c r="AM12" s="33"/>
      <c r="AN12" s="33"/>
      <c r="AO12" s="16"/>
      <c r="AP12" s="33"/>
      <c r="AQ12" s="33"/>
      <c r="AR12" s="16"/>
      <c r="AS12" s="33"/>
      <c r="AT12" s="33"/>
      <c r="AU12" s="16"/>
      <c r="AV12" s="33"/>
      <c r="AW12" s="33"/>
      <c r="AX12" s="16"/>
      <c r="AY12" s="33"/>
      <c r="AZ12" s="33"/>
      <c r="BA12" s="16"/>
      <c r="BB12" s="33"/>
      <c r="BC12" s="33"/>
      <c r="BD12" s="22"/>
      <c r="BE12" s="33"/>
      <c r="BF12" s="33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CI12" s="16"/>
      <c r="CJ12" s="33"/>
      <c r="CK12" s="33"/>
      <c r="CL12" s="16"/>
      <c r="CM12" s="33"/>
      <c r="CN12" s="33"/>
      <c r="CO12" s="16"/>
      <c r="CP12" s="33"/>
      <c r="CQ12" s="33"/>
      <c r="CR12" s="16"/>
      <c r="CS12" s="33"/>
      <c r="CT12" s="33"/>
      <c r="CU12" s="16"/>
      <c r="CV12" s="33"/>
      <c r="CW12" s="33"/>
      <c r="CX12" s="16"/>
      <c r="CY12" s="33"/>
      <c r="CZ12" s="33"/>
      <c r="DA12" s="16"/>
      <c r="DB12" s="33"/>
      <c r="DC12" s="33"/>
      <c r="DD12" s="16"/>
      <c r="DE12" s="33"/>
      <c r="DF12" s="33"/>
      <c r="DG12" s="16"/>
      <c r="DH12" s="33"/>
      <c r="DI12" s="33"/>
      <c r="DJ12" s="11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M12" s="35"/>
    </row>
    <row r="13" spans="1:143" ht="15.75" x14ac:dyDescent="0.25">
      <c r="A13" s="149"/>
      <c r="B13" s="146" t="s">
        <v>294</v>
      </c>
      <c r="C13" s="147">
        <v>195</v>
      </c>
      <c r="D13" s="147">
        <f>2314225-800000</f>
        <v>1514225</v>
      </c>
      <c r="E13" s="147" t="e">
        <f>SUM(#REF!)</f>
        <v>#REF!</v>
      </c>
      <c r="F13" s="147" t="e">
        <f>SUM(#REF!)</f>
        <v>#REF!</v>
      </c>
      <c r="G13" s="147">
        <v>50</v>
      </c>
      <c r="H13" s="148">
        <f>(D13)*50%</f>
        <v>757112.5</v>
      </c>
      <c r="I13" s="152"/>
      <c r="J13" s="269">
        <f>5672*15*9</f>
        <v>765720</v>
      </c>
      <c r="K13" s="152"/>
      <c r="L13" s="230"/>
      <c r="M13" s="152"/>
      <c r="N13" s="153"/>
      <c r="O13" s="148">
        <f>D13+H13+J13+L13</f>
        <v>3037057.5</v>
      </c>
      <c r="P13" s="231">
        <f>Q13/12/O13</f>
        <v>1</v>
      </c>
      <c r="Q13" s="223">
        <f>O13*12</f>
        <v>36444690</v>
      </c>
      <c r="R13" s="224">
        <f>1414225</f>
        <v>1414225</v>
      </c>
      <c r="S13" s="224">
        <f>508373-85435</f>
        <v>422938</v>
      </c>
      <c r="T13" s="223">
        <f>Q13+R13+S13+2</f>
        <v>38281855</v>
      </c>
      <c r="U13" s="16"/>
      <c r="V13" s="33"/>
      <c r="W13" s="16"/>
      <c r="X13" s="33"/>
      <c r="Y13" s="33"/>
      <c r="Z13" s="16"/>
      <c r="AA13" s="33"/>
      <c r="AB13" s="33"/>
      <c r="AC13" s="16"/>
      <c r="AD13" s="33"/>
      <c r="AE13" s="33"/>
      <c r="AF13" s="16"/>
      <c r="AG13" s="33"/>
      <c r="AH13" s="33"/>
      <c r="AI13" s="16"/>
      <c r="AJ13" s="33"/>
      <c r="AK13" s="33"/>
      <c r="AL13" s="16"/>
      <c r="AM13" s="33"/>
      <c r="AN13" s="33"/>
      <c r="AO13" s="16"/>
      <c r="AP13" s="33"/>
      <c r="AQ13" s="33"/>
      <c r="AR13" s="16"/>
      <c r="AS13" s="33"/>
      <c r="AT13" s="33"/>
      <c r="AU13" s="16"/>
      <c r="AV13" s="33"/>
      <c r="AW13" s="33"/>
      <c r="AX13" s="16"/>
      <c r="AY13" s="33"/>
      <c r="AZ13" s="33"/>
      <c r="BA13" s="16"/>
      <c r="BB13" s="33"/>
      <c r="BC13" s="33"/>
      <c r="BD13" s="22"/>
      <c r="BE13" s="33"/>
      <c r="BF13" s="33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CI13" s="16"/>
      <c r="CJ13" s="33"/>
      <c r="CK13" s="33"/>
      <c r="CL13" s="16"/>
      <c r="CM13" s="33"/>
      <c r="CN13" s="33"/>
      <c r="CO13" s="16"/>
      <c r="CP13" s="33"/>
      <c r="CQ13" s="33"/>
      <c r="CR13" s="16"/>
      <c r="CS13" s="33"/>
      <c r="CT13" s="33"/>
      <c r="CU13" s="16"/>
      <c r="CV13" s="33"/>
      <c r="CW13" s="33"/>
      <c r="CX13" s="16"/>
      <c r="CY13" s="33"/>
      <c r="CZ13" s="33"/>
      <c r="DA13" s="16"/>
      <c r="DB13" s="33"/>
      <c r="DC13" s="33"/>
      <c r="DD13" s="16"/>
      <c r="DE13" s="33"/>
      <c r="DF13" s="33"/>
      <c r="DG13" s="16"/>
      <c r="DH13" s="33"/>
      <c r="DI13" s="33"/>
      <c r="DJ13" s="11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</row>
    <row r="14" spans="1:143" s="40" customFormat="1" x14ac:dyDescent="0.25">
      <c r="A14" s="154"/>
      <c r="B14" s="155"/>
      <c r="C14" s="156"/>
      <c r="D14" s="156"/>
      <c r="E14" s="156"/>
      <c r="F14" s="156"/>
      <c r="G14" s="157"/>
      <c r="H14" s="158"/>
      <c r="I14" s="157"/>
      <c r="J14" s="158"/>
      <c r="K14" s="157"/>
      <c r="L14" s="158"/>
      <c r="M14" s="157"/>
      <c r="N14" s="158">
        <f t="shared" ref="N14:N16" si="8">$D14*M14</f>
        <v>0</v>
      </c>
      <c r="O14" s="158"/>
      <c r="P14" s="158"/>
      <c r="Q14" s="158"/>
      <c r="R14" s="158"/>
      <c r="S14" s="158"/>
      <c r="T14" s="158"/>
      <c r="V14" s="41"/>
      <c r="X14" s="41"/>
      <c r="Y14" s="41"/>
      <c r="AA14" s="41"/>
      <c r="AB14" s="41"/>
      <c r="AD14" s="41"/>
      <c r="AE14" s="41"/>
      <c r="AG14" s="41"/>
      <c r="AH14" s="41"/>
      <c r="AJ14" s="41"/>
      <c r="AK14" s="41"/>
      <c r="AM14" s="41"/>
      <c r="AN14" s="41"/>
      <c r="AP14" s="41"/>
      <c r="AQ14" s="41"/>
      <c r="AS14" s="41"/>
      <c r="AT14" s="41"/>
      <c r="AV14" s="41"/>
      <c r="AW14" s="41"/>
      <c r="AY14" s="41"/>
      <c r="AZ14" s="41"/>
      <c r="BB14" s="41"/>
      <c r="BC14" s="41"/>
      <c r="BE14" s="41"/>
      <c r="BF14" s="41"/>
      <c r="CJ14" s="41"/>
      <c r="CK14" s="41"/>
      <c r="CM14" s="41"/>
      <c r="CN14" s="41"/>
      <c r="CP14" s="41"/>
      <c r="CQ14" s="41"/>
      <c r="CS14" s="41"/>
      <c r="CT14" s="41"/>
      <c r="CV14" s="41"/>
      <c r="CW14" s="41"/>
      <c r="CY14" s="41"/>
      <c r="CZ14" s="41"/>
      <c r="DB14" s="41"/>
      <c r="DC14" s="41"/>
      <c r="DE14" s="41"/>
      <c r="DF14" s="41"/>
      <c r="DH14" s="41"/>
      <c r="DI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</row>
    <row r="15" spans="1:143" s="40" customFormat="1" x14ac:dyDescent="0.25">
      <c r="A15" s="159"/>
      <c r="B15" s="155"/>
      <c r="C15" s="156"/>
      <c r="D15" s="156"/>
      <c r="E15" s="156"/>
      <c r="F15" s="156"/>
      <c r="G15" s="157"/>
      <c r="H15" s="158"/>
      <c r="I15" s="157"/>
      <c r="J15" s="158"/>
      <c r="K15" s="157"/>
      <c r="L15" s="158"/>
      <c r="M15" s="157"/>
      <c r="N15" s="158">
        <f t="shared" si="8"/>
        <v>0</v>
      </c>
      <c r="O15" s="158"/>
      <c r="P15" s="158"/>
      <c r="Q15" s="158"/>
      <c r="R15" s="158"/>
      <c r="S15" s="158"/>
      <c r="T15" s="158"/>
      <c r="V15" s="41"/>
      <c r="X15" s="41"/>
      <c r="Y15" s="41"/>
      <c r="AA15" s="41"/>
      <c r="AB15" s="41"/>
      <c r="AD15" s="41"/>
      <c r="AE15" s="41"/>
      <c r="AG15" s="41"/>
      <c r="AH15" s="41"/>
      <c r="AJ15" s="41"/>
      <c r="AK15" s="41"/>
      <c r="AM15" s="41"/>
      <c r="AN15" s="41"/>
      <c r="AP15" s="41"/>
      <c r="AQ15" s="41"/>
      <c r="AS15" s="41"/>
      <c r="AT15" s="41"/>
      <c r="AV15" s="41"/>
      <c r="AW15" s="41"/>
      <c r="AY15" s="41"/>
      <c r="AZ15" s="41"/>
      <c r="BB15" s="41"/>
      <c r="BC15" s="41"/>
      <c r="BE15" s="41"/>
      <c r="BF15" s="41"/>
      <c r="CJ15" s="41"/>
      <c r="CK15" s="41"/>
      <c r="CM15" s="41"/>
      <c r="CN15" s="41"/>
      <c r="CP15" s="41"/>
      <c r="CQ15" s="41"/>
      <c r="CS15" s="41"/>
      <c r="CT15" s="41"/>
      <c r="CV15" s="41"/>
      <c r="CW15" s="41"/>
      <c r="CY15" s="41"/>
      <c r="CZ15" s="41"/>
      <c r="DB15" s="41"/>
      <c r="DC15" s="41"/>
      <c r="DE15" s="41"/>
      <c r="DF15" s="41"/>
      <c r="DH15" s="41"/>
      <c r="DI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</row>
    <row r="16" spans="1:143" s="40" customFormat="1" x14ac:dyDescent="0.25">
      <c r="A16" s="159"/>
      <c r="B16" s="155"/>
      <c r="C16" s="156"/>
      <c r="D16" s="156"/>
      <c r="E16" s="156"/>
      <c r="F16" s="156"/>
      <c r="G16" s="157"/>
      <c r="H16" s="158"/>
      <c r="I16" s="157"/>
      <c r="J16" s="158"/>
      <c r="K16" s="157"/>
      <c r="L16" s="158"/>
      <c r="M16" s="157"/>
      <c r="N16" s="158">
        <f t="shared" si="8"/>
        <v>0</v>
      </c>
      <c r="O16" s="158"/>
      <c r="P16" s="158"/>
      <c r="Q16" s="158"/>
      <c r="R16" s="158"/>
      <c r="S16" s="158"/>
      <c r="T16" s="158"/>
      <c r="V16" s="41"/>
      <c r="X16" s="41"/>
      <c r="Y16" s="41"/>
      <c r="AA16" s="41"/>
      <c r="AB16" s="41"/>
      <c r="AD16" s="41"/>
      <c r="AE16" s="41"/>
      <c r="AG16" s="41"/>
      <c r="AH16" s="41"/>
      <c r="AJ16" s="41"/>
      <c r="AK16" s="41"/>
      <c r="AM16" s="41"/>
      <c r="AN16" s="41"/>
      <c r="AP16" s="41"/>
      <c r="AQ16" s="41"/>
      <c r="AS16" s="41"/>
      <c r="AT16" s="41"/>
      <c r="AV16" s="41"/>
      <c r="AW16" s="41"/>
      <c r="AY16" s="41"/>
      <c r="AZ16" s="41"/>
      <c r="BB16" s="41"/>
      <c r="BC16" s="41"/>
      <c r="BE16" s="41"/>
      <c r="BF16" s="41"/>
      <c r="CJ16" s="41"/>
      <c r="CK16" s="41"/>
      <c r="CM16" s="41"/>
      <c r="CN16" s="41"/>
      <c r="CP16" s="41"/>
      <c r="CQ16" s="41"/>
      <c r="CS16" s="41"/>
      <c r="CT16" s="41"/>
      <c r="CV16" s="41"/>
      <c r="CW16" s="41"/>
      <c r="CY16" s="41"/>
      <c r="CZ16" s="41"/>
      <c r="DB16" s="41"/>
      <c r="DC16" s="41"/>
      <c r="DE16" s="41"/>
      <c r="DF16" s="41"/>
      <c r="DH16" s="41"/>
      <c r="DI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</row>
    <row r="17" spans="1:140" s="40" customFormat="1" ht="15.75" x14ac:dyDescent="0.25">
      <c r="A17" s="159"/>
      <c r="B17" s="252" t="s">
        <v>274</v>
      </c>
      <c r="C17" s="227"/>
      <c r="D17" s="227"/>
      <c r="E17" s="227"/>
      <c r="F17" s="227"/>
      <c r="G17" s="228"/>
      <c r="H17" s="229"/>
      <c r="I17" s="228"/>
      <c r="J17" s="158"/>
      <c r="K17" s="157"/>
      <c r="L17" s="158"/>
      <c r="M17" s="157"/>
      <c r="N17" s="158">
        <f t="shared" ref="N17:N21" si="9">$D17*M17</f>
        <v>0</v>
      </c>
      <c r="O17" s="158"/>
      <c r="P17" s="158"/>
      <c r="Q17" s="158"/>
      <c r="R17" s="158"/>
      <c r="S17" s="158"/>
      <c r="T17" s="158"/>
      <c r="V17" s="41"/>
      <c r="X17" s="41"/>
      <c r="Y17" s="41"/>
      <c r="AA17" s="41"/>
      <c r="AB17" s="41"/>
      <c r="AD17" s="41"/>
      <c r="AE17" s="41"/>
      <c r="AG17" s="41"/>
      <c r="AH17" s="41"/>
      <c r="AJ17" s="41"/>
      <c r="AK17" s="41"/>
      <c r="AM17" s="41"/>
      <c r="AN17" s="41"/>
      <c r="AP17" s="41"/>
      <c r="AQ17" s="41"/>
      <c r="AS17" s="41"/>
      <c r="AT17" s="41"/>
      <c r="AV17" s="41"/>
      <c r="AW17" s="41"/>
      <c r="AY17" s="41"/>
      <c r="AZ17" s="41"/>
      <c r="BB17" s="41"/>
      <c r="BC17" s="41"/>
      <c r="BE17" s="41"/>
      <c r="BF17" s="41"/>
      <c r="CJ17" s="41"/>
      <c r="CK17" s="41"/>
      <c r="CM17" s="41"/>
      <c r="CN17" s="41"/>
      <c r="CP17" s="41"/>
      <c r="CQ17" s="41"/>
      <c r="CS17" s="41"/>
      <c r="CT17" s="41"/>
      <c r="CV17" s="41"/>
      <c r="CW17" s="41"/>
      <c r="CY17" s="41"/>
      <c r="CZ17" s="41"/>
      <c r="DB17" s="41"/>
      <c r="DC17" s="41"/>
      <c r="DE17" s="41"/>
      <c r="DF17" s="41"/>
      <c r="DH17" s="41"/>
      <c r="DI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</row>
    <row r="18" spans="1:140" s="40" customFormat="1" ht="15.75" x14ac:dyDescent="0.25">
      <c r="A18" s="159"/>
      <c r="B18" s="226"/>
      <c r="C18" s="227"/>
      <c r="D18" s="227"/>
      <c r="E18" s="227"/>
      <c r="F18" s="227"/>
      <c r="G18" s="228"/>
      <c r="H18" s="229"/>
      <c r="I18" s="228"/>
      <c r="J18" s="158"/>
      <c r="K18" s="157"/>
      <c r="L18" s="158"/>
      <c r="M18" s="157"/>
      <c r="N18" s="158">
        <f t="shared" si="9"/>
        <v>0</v>
      </c>
      <c r="O18" s="158"/>
      <c r="P18" s="158"/>
      <c r="Q18" s="158"/>
      <c r="R18" s="158"/>
      <c r="S18" s="158"/>
      <c r="T18" s="158"/>
      <c r="V18" s="41"/>
      <c r="X18" s="41"/>
      <c r="Y18" s="41"/>
      <c r="AA18" s="41"/>
      <c r="AB18" s="41"/>
      <c r="AD18" s="41"/>
      <c r="AE18" s="41"/>
      <c r="AG18" s="41"/>
      <c r="AH18" s="41"/>
      <c r="AJ18" s="41"/>
      <c r="AK18" s="41"/>
      <c r="AM18" s="41"/>
      <c r="AN18" s="41"/>
      <c r="AP18" s="41"/>
      <c r="AQ18" s="41"/>
      <c r="AS18" s="41"/>
      <c r="AT18" s="41"/>
      <c r="AV18" s="41"/>
      <c r="AW18" s="41"/>
      <c r="AY18" s="41"/>
      <c r="AZ18" s="41"/>
      <c r="BB18" s="41"/>
      <c r="BC18" s="41"/>
      <c r="BE18" s="41"/>
      <c r="BF18" s="41"/>
      <c r="CJ18" s="41"/>
      <c r="CK18" s="41"/>
      <c r="CM18" s="41"/>
      <c r="CN18" s="41"/>
      <c r="CP18" s="41"/>
      <c r="CQ18" s="41"/>
      <c r="CS18" s="41"/>
      <c r="CT18" s="41"/>
      <c r="CV18" s="41"/>
      <c r="CW18" s="41"/>
      <c r="CY18" s="41"/>
      <c r="CZ18" s="41"/>
      <c r="DB18" s="41"/>
      <c r="DC18" s="41"/>
      <c r="DE18" s="41"/>
      <c r="DF18" s="41"/>
      <c r="DH18" s="41"/>
      <c r="DI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</row>
    <row r="19" spans="1:140" s="40" customFormat="1" ht="15.75" x14ac:dyDescent="0.25">
      <c r="A19" s="159"/>
      <c r="B19" s="252" t="s">
        <v>275</v>
      </c>
      <c r="C19" s="227"/>
      <c r="D19" s="227"/>
      <c r="E19" s="227"/>
      <c r="F19" s="227"/>
      <c r="G19" s="228"/>
      <c r="H19" s="229"/>
      <c r="I19" s="228"/>
      <c r="J19" s="158"/>
      <c r="K19" s="157"/>
      <c r="L19" s="158"/>
      <c r="M19" s="157"/>
      <c r="N19" s="158">
        <f t="shared" si="9"/>
        <v>0</v>
      </c>
      <c r="O19" s="158"/>
      <c r="P19" s="158"/>
      <c r="Q19" s="158"/>
      <c r="R19" s="158"/>
      <c r="S19" s="158"/>
      <c r="T19" s="158"/>
      <c r="V19" s="41"/>
      <c r="X19" s="41"/>
      <c r="Y19" s="41"/>
      <c r="AA19" s="41"/>
      <c r="AB19" s="41"/>
      <c r="AD19" s="41"/>
      <c r="AE19" s="41"/>
      <c r="AG19" s="41"/>
      <c r="AH19" s="41"/>
      <c r="AJ19" s="41"/>
      <c r="AK19" s="41"/>
      <c r="AM19" s="41"/>
      <c r="AN19" s="41"/>
      <c r="AP19" s="41"/>
      <c r="AQ19" s="41"/>
      <c r="AS19" s="41"/>
      <c r="AT19" s="41"/>
      <c r="AV19" s="41"/>
      <c r="AW19" s="41"/>
      <c r="AY19" s="41"/>
      <c r="AZ19" s="41"/>
      <c r="BB19" s="41"/>
      <c r="BC19" s="41"/>
      <c r="BE19" s="41"/>
      <c r="BF19" s="41"/>
      <c r="CJ19" s="41"/>
      <c r="CK19" s="41"/>
      <c r="CM19" s="41"/>
      <c r="CN19" s="41"/>
      <c r="CP19" s="41"/>
      <c r="CQ19" s="41"/>
      <c r="CS19" s="41"/>
      <c r="CT19" s="41"/>
      <c r="CV19" s="41"/>
      <c r="CW19" s="41"/>
      <c r="CY19" s="41"/>
      <c r="CZ19" s="41"/>
      <c r="DB19" s="41"/>
      <c r="DC19" s="41"/>
      <c r="DE19" s="41"/>
      <c r="DF19" s="41"/>
      <c r="DH19" s="41"/>
      <c r="DI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</row>
    <row r="20" spans="1:140" s="40" customFormat="1" x14ac:dyDescent="0.25">
      <c r="A20" s="159"/>
      <c r="B20" s="155"/>
      <c r="C20" s="156"/>
      <c r="D20" s="156"/>
      <c r="E20" s="156"/>
      <c r="F20" s="156"/>
      <c r="G20" s="157"/>
      <c r="H20" s="158"/>
      <c r="I20" s="157"/>
      <c r="J20" s="158"/>
      <c r="K20" s="157"/>
      <c r="L20" s="158"/>
      <c r="M20" s="157"/>
      <c r="N20" s="158">
        <f t="shared" si="9"/>
        <v>0</v>
      </c>
      <c r="O20" s="158"/>
      <c r="P20" s="158"/>
      <c r="Q20" s="158"/>
      <c r="R20" s="158"/>
      <c r="S20" s="158"/>
      <c r="T20" s="158"/>
      <c r="V20" s="41"/>
      <c r="X20" s="41"/>
      <c r="Y20" s="41"/>
      <c r="AA20" s="41"/>
      <c r="AB20" s="41"/>
      <c r="AD20" s="41"/>
      <c r="AE20" s="41"/>
      <c r="AG20" s="41"/>
      <c r="AH20" s="41"/>
      <c r="AJ20" s="41"/>
      <c r="AK20" s="41"/>
      <c r="AM20" s="41"/>
      <c r="AN20" s="41"/>
      <c r="AP20" s="41"/>
      <c r="AQ20" s="41"/>
      <c r="AS20" s="41"/>
      <c r="AT20" s="41"/>
      <c r="AV20" s="41"/>
      <c r="AW20" s="41"/>
      <c r="AY20" s="41"/>
      <c r="AZ20" s="41"/>
      <c r="BB20" s="41"/>
      <c r="BC20" s="41"/>
      <c r="BE20" s="41"/>
      <c r="BF20" s="41"/>
      <c r="CJ20" s="41"/>
      <c r="CK20" s="41"/>
      <c r="CM20" s="41"/>
      <c r="CN20" s="41"/>
      <c r="CP20" s="41"/>
      <c r="CQ20" s="41"/>
      <c r="CS20" s="41"/>
      <c r="CT20" s="41"/>
      <c r="CV20" s="41"/>
      <c r="CW20" s="41"/>
      <c r="CY20" s="41"/>
      <c r="CZ20" s="41"/>
      <c r="DB20" s="41"/>
      <c r="DC20" s="41"/>
      <c r="DE20" s="41"/>
      <c r="DF20" s="41"/>
      <c r="DH20" s="41"/>
      <c r="DI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</row>
    <row r="21" spans="1:140" s="40" customFormat="1" x14ac:dyDescent="0.25">
      <c r="A21" s="42"/>
      <c r="B21" s="36"/>
      <c r="C21" s="37"/>
      <c r="D21" s="37"/>
      <c r="E21" s="37"/>
      <c r="F21" s="37"/>
      <c r="G21" s="38"/>
      <c r="H21" s="39"/>
      <c r="I21" s="38"/>
      <c r="J21" s="39"/>
      <c r="K21" s="38"/>
      <c r="L21" s="39"/>
      <c r="M21" s="38"/>
      <c r="N21" s="39">
        <f t="shared" si="9"/>
        <v>0</v>
      </c>
      <c r="O21" s="39"/>
      <c r="P21" s="39"/>
      <c r="Q21" s="39"/>
      <c r="R21" s="39"/>
      <c r="S21" s="39"/>
      <c r="T21" s="39"/>
      <c r="V21" s="41"/>
      <c r="X21" s="41"/>
      <c r="Y21" s="41"/>
      <c r="AA21" s="41"/>
      <c r="AB21" s="41"/>
      <c r="AD21" s="41"/>
      <c r="AE21" s="41"/>
      <c r="AG21" s="41"/>
      <c r="AH21" s="41"/>
      <c r="AJ21" s="41"/>
      <c r="AK21" s="41"/>
      <c r="AM21" s="41"/>
      <c r="AN21" s="41"/>
      <c r="AP21" s="41"/>
      <c r="AQ21" s="41"/>
      <c r="AS21" s="41"/>
      <c r="AT21" s="41"/>
      <c r="AV21" s="41"/>
      <c r="AW21" s="41"/>
      <c r="AY21" s="41"/>
      <c r="AZ21" s="41"/>
      <c r="BB21" s="41"/>
      <c r="BC21" s="41"/>
      <c r="BE21" s="41"/>
      <c r="BF21" s="41"/>
      <c r="CJ21" s="41"/>
      <c r="CK21" s="41"/>
      <c r="CM21" s="41"/>
      <c r="CN21" s="41"/>
      <c r="CP21" s="41"/>
      <c r="CQ21" s="41"/>
      <c r="CS21" s="41"/>
      <c r="CT21" s="41"/>
      <c r="CV21" s="41"/>
      <c r="CW21" s="41"/>
      <c r="CY21" s="41"/>
      <c r="CZ21" s="41"/>
      <c r="DB21" s="41"/>
      <c r="DC21" s="41"/>
      <c r="DE21" s="41"/>
      <c r="DF21" s="41"/>
      <c r="DH21" s="41"/>
      <c r="DI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</row>
  </sheetData>
  <mergeCells count="115">
    <mergeCell ref="DC8:DC9"/>
    <mergeCell ref="DD8:DD9"/>
    <mergeCell ref="DE8:DE9"/>
    <mergeCell ref="DF8:DF9"/>
    <mergeCell ref="CL8:CL9"/>
    <mergeCell ref="CM8:CM9"/>
    <mergeCell ref="CU8:CU9"/>
    <mergeCell ref="CV8:CV9"/>
    <mergeCell ref="CW8:CW9"/>
    <mergeCell ref="CX8:CX9"/>
    <mergeCell ref="CY8:CY9"/>
    <mergeCell ref="CZ8:CZ9"/>
    <mergeCell ref="CO8:CO9"/>
    <mergeCell ref="CP8:CP9"/>
    <mergeCell ref="CQ8:CQ9"/>
    <mergeCell ref="CR8:CR9"/>
    <mergeCell ref="CS8:CS9"/>
    <mergeCell ref="CT8:CT9"/>
    <mergeCell ref="CN8:CN9"/>
    <mergeCell ref="BF8:BF9"/>
    <mergeCell ref="DG7:DI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CO7:CQ7"/>
    <mergeCell ref="CR7:CT7"/>
    <mergeCell ref="CU7:CW7"/>
    <mergeCell ref="CX7:CZ7"/>
    <mergeCell ref="DA7:DC7"/>
    <mergeCell ref="DD7:DF7"/>
    <mergeCell ref="AU7:AW7"/>
    <mergeCell ref="AX7:AZ7"/>
    <mergeCell ref="DG8:DG9"/>
    <mergeCell ref="DH8:DH9"/>
    <mergeCell ref="DI8:DI9"/>
    <mergeCell ref="DA8:DA9"/>
    <mergeCell ref="DB8:DB9"/>
    <mergeCell ref="AN8:AN9"/>
    <mergeCell ref="CL7:CN7"/>
    <mergeCell ref="AC7:AE7"/>
    <mergeCell ref="AF7:AH7"/>
    <mergeCell ref="AI7:AK7"/>
    <mergeCell ref="AL7:AN7"/>
    <mergeCell ref="AO7:AQ7"/>
    <mergeCell ref="AR7:AT7"/>
    <mergeCell ref="AF8:AF9"/>
    <mergeCell ref="AG8:AG9"/>
    <mergeCell ref="AH8:AH9"/>
    <mergeCell ref="AU8:AU9"/>
    <mergeCell ref="AV8:AV9"/>
    <mergeCell ref="AW8:AW9"/>
    <mergeCell ref="AX8:AX9"/>
    <mergeCell ref="AY8:AY9"/>
    <mergeCell ref="BD7:BF7"/>
    <mergeCell ref="CI7:CK7"/>
    <mergeCell ref="CJ8:CJ9"/>
    <mergeCell ref="BA8:BA9"/>
    <mergeCell ref="BB8:BB9"/>
    <mergeCell ref="BC8:BC9"/>
    <mergeCell ref="BD8:BD9"/>
    <mergeCell ref="BE8:BE9"/>
    <mergeCell ref="AO8:AO9"/>
    <mergeCell ref="AP8:AP9"/>
    <mergeCell ref="AQ8:AQ9"/>
    <mergeCell ref="AR8:AR9"/>
    <mergeCell ref="AS8:AS9"/>
    <mergeCell ref="AT8:AT9"/>
    <mergeCell ref="CI8:CI9"/>
    <mergeCell ref="BA7:BC7"/>
    <mergeCell ref="N8:N9"/>
    <mergeCell ref="U8:U9"/>
    <mergeCell ref="V8:V9"/>
    <mergeCell ref="W8:W9"/>
    <mergeCell ref="X8:X9"/>
    <mergeCell ref="Y8:Y9"/>
    <mergeCell ref="AC8:AC9"/>
    <mergeCell ref="AD8:AD9"/>
    <mergeCell ref="AE8:AE9"/>
    <mergeCell ref="S7:S9"/>
    <mergeCell ref="AB8:AB9"/>
    <mergeCell ref="AI8:AI9"/>
    <mergeCell ref="AJ8:AJ9"/>
    <mergeCell ref="AK8:AK9"/>
    <mergeCell ref="AL8:AL9"/>
    <mergeCell ref="AM8:AM9"/>
    <mergeCell ref="CK8:CK9"/>
    <mergeCell ref="EL7:EL9"/>
    <mergeCell ref="R7:R9"/>
    <mergeCell ref="G4:P4"/>
    <mergeCell ref="A3:T3"/>
    <mergeCell ref="A6:A9"/>
    <mergeCell ref="B6:B9"/>
    <mergeCell ref="C6:C9"/>
    <mergeCell ref="D7:D9"/>
    <mergeCell ref="G7:H7"/>
    <mergeCell ref="I7:J7"/>
    <mergeCell ref="K7:L7"/>
    <mergeCell ref="M7:N7"/>
    <mergeCell ref="O7:O9"/>
    <mergeCell ref="P7:P9"/>
    <mergeCell ref="Q7:Q9"/>
    <mergeCell ref="D6:T6"/>
    <mergeCell ref="T7:T9"/>
    <mergeCell ref="U7:V7"/>
    <mergeCell ref="W7:Y7"/>
    <mergeCell ref="Z7:AB7"/>
    <mergeCell ref="Z8:Z9"/>
    <mergeCell ref="AA8:AA9"/>
    <mergeCell ref="AZ8:AZ9"/>
  </mergeCells>
  <dataValidations count="1">
    <dataValidation type="list" allowBlank="1" showInputMessage="1" showErrorMessage="1" sqref="A12:A21" xr:uid="{00000000-0002-0000-0300-000000000000}">
      <formula1>$EM$12:$EM$13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rowBreaks count="1" manualBreakCount="1">
    <brk id="20" max="137" man="1"/>
  </rowBreaks>
  <colBreaks count="1" manualBreakCount="1">
    <brk id="20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2024 (зі змінами 11.01.24)</vt:lpstr>
      <vt:lpstr>доходи</vt:lpstr>
      <vt:lpstr>План витрат</vt:lpstr>
      <vt:lpstr>План ЗП </vt:lpstr>
      <vt:lpstr>'2024 (зі змінами 11.01.24)'!Область_друку</vt:lpstr>
      <vt:lpstr>доходи!Область_друку</vt:lpstr>
      <vt:lpstr>'План витрат'!Область_друку</vt:lpstr>
      <vt:lpstr>'План ЗП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Діана Дудинська</cp:lastModifiedBy>
  <cp:lastPrinted>2024-02-12T08:20:27Z</cp:lastPrinted>
  <dcterms:created xsi:type="dcterms:W3CDTF">2020-08-05T11:43:24Z</dcterms:created>
  <dcterms:modified xsi:type="dcterms:W3CDTF">2024-04-10T13:42:38Z</dcterms:modified>
</cp:coreProperties>
</file>