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725" activeTab="16"/>
  </bookViews>
  <sheets>
    <sheet name="ЗН-01" sheetId="9" r:id="rId1"/>
    <sheet name="01а-х" sheetId="16" r:id="rId2"/>
    <sheet name="ЗН-02" sheetId="4" r:id="rId3"/>
    <sheet name="02а-х" sheetId="18" r:id="rId4"/>
    <sheet name="ЗН-04" sheetId="3" r:id="rId5"/>
    <sheet name="04а-х" sheetId="19" r:id="rId6"/>
    <sheet name="ЗН-05" sheetId="10" r:id="rId7"/>
    <sheet name="05а-х" sheetId="20" r:id="rId8"/>
    <sheet name="ЗН-07" sheetId="13" r:id="rId9"/>
    <sheet name="07а-х" sheetId="21" r:id="rId10"/>
    <sheet name="ЗН-09 " sheetId="5" r:id="rId11"/>
    <sheet name="09а-х" sheetId="22" r:id="rId12"/>
    <sheet name="ЗН-10 " sheetId="6" r:id="rId13"/>
    <sheet name="10а-х" sheetId="23" r:id="rId14"/>
    <sheet name="ЗН-11 " sheetId="14" r:id="rId15"/>
    <sheet name="11а-х " sheetId="24" r:id="rId16"/>
    <sheet name="ЗН-12 (перенесення)" sheetId="15" r:id="rId17"/>
  </sheets>
  <definedNames>
    <definedName name="_xlnm.Print_Area" localSheetId="1">'01а-х'!$A$1:$I$32</definedName>
    <definedName name="_xlnm.Print_Area" localSheetId="3">'02а-х'!$A$1:$I$29</definedName>
    <definedName name="_xlnm.Print_Area" localSheetId="5">'04а-х'!$A$1:$I$70</definedName>
    <definedName name="_xlnm.Print_Area" localSheetId="15">'11а-х '!$A$1:$I$27</definedName>
    <definedName name="_xlnm.Print_Area" localSheetId="2">'ЗН-02'!$A$1:$G$42</definedName>
    <definedName name="_xlnm.Print_Area" localSheetId="4">'ЗН-04'!$A$1:$G$41</definedName>
    <definedName name="_xlnm.Print_Area" localSheetId="6">'ЗН-05'!$A$1:$G$33</definedName>
    <definedName name="_xlnm.Print_Area" localSheetId="8">'ЗН-07'!$A$1:$G$31</definedName>
    <definedName name="_xlnm.Print_Area" localSheetId="10">'ЗН-09 '!$A$1:$G$33</definedName>
    <definedName name="_xlnm.Print_Area" localSheetId="12">'ЗН-10 '!$A$1:$G$27</definedName>
    <definedName name="_xlnm.Print_Area" localSheetId="14">'ЗН-11 '!$A$1:$G$38</definedName>
    <definedName name="_xlnm.Print_Area" localSheetId="16">'ЗН-12 (перенесення)'!$A$1:$G$42</definedName>
  </definedNames>
  <calcPr calcId="125725"/>
</workbook>
</file>

<file path=xl/calcChain.xml><?xml version="1.0" encoding="utf-8"?>
<calcChain xmlns="http://schemas.openxmlformats.org/spreadsheetml/2006/main">
  <c r="G17" i="3"/>
  <c r="G17" i="15"/>
  <c r="G15"/>
  <c r="G16" i="14"/>
  <c r="G14"/>
  <c r="G11"/>
  <c r="G8"/>
  <c r="G15" i="3"/>
  <c r="G17" i="4"/>
  <c r="G14"/>
  <c r="G11"/>
  <c r="G8"/>
  <c r="G23" i="9"/>
  <c r="G20"/>
  <c r="G17"/>
  <c r="G14"/>
  <c r="G11"/>
  <c r="G8"/>
  <c r="G9" i="15"/>
  <c r="G9" i="3"/>
  <c r="G20" i="5" l="1"/>
  <c r="G29" i="15" l="1"/>
  <c r="G24" i="14"/>
  <c r="G15" i="6"/>
  <c r="G22" i="5"/>
  <c r="G17" i="13"/>
  <c r="G19" i="10"/>
  <c r="G28" i="3" l="1"/>
  <c r="G28" i="4"/>
  <c r="G22" i="24"/>
  <c r="D8"/>
  <c r="B9" s="1"/>
  <c r="D9" s="1"/>
  <c r="B10" s="1"/>
  <c r="D10" s="1"/>
  <c r="B11" s="1"/>
  <c r="D11" s="1"/>
  <c r="B12" s="1"/>
  <c r="D12" s="1"/>
  <c r="D8" i="22"/>
  <c r="B9" s="1"/>
  <c r="D9" s="1"/>
  <c r="B10" s="1"/>
  <c r="D10" s="1"/>
  <c r="B11" s="1"/>
  <c r="D11" s="1"/>
  <c r="B12" s="1"/>
  <c r="D12" s="1"/>
  <c r="B13" s="1"/>
  <c r="D13" s="1"/>
  <c r="B14" s="1"/>
  <c r="D14" s="1"/>
  <c r="B15" s="1"/>
  <c r="D15" s="1"/>
  <c r="B16" s="1"/>
  <c r="D16" s="1"/>
  <c r="B17" s="1"/>
  <c r="D17" s="1"/>
  <c r="B18" s="1"/>
  <c r="D18" s="1"/>
  <c r="B19" s="1"/>
  <c r="D19" s="1"/>
  <c r="B20" s="1"/>
  <c r="D20" s="1"/>
  <c r="B21" s="1"/>
  <c r="D21" s="1"/>
  <c r="B22" s="1"/>
  <c r="D22" s="1"/>
  <c r="B23" s="1"/>
  <c r="D23" s="1"/>
  <c r="B24" s="1"/>
  <c r="D24" s="1"/>
  <c r="B25" s="1"/>
  <c r="D25" s="1"/>
  <c r="B26" s="1"/>
  <c r="D26" s="1"/>
  <c r="B27" s="1"/>
  <c r="D27" s="1"/>
  <c r="B28" s="1"/>
  <c r="D28" s="1"/>
  <c r="B29" s="1"/>
  <c r="D29" s="1"/>
  <c r="B30" s="1"/>
  <c r="D30" s="1"/>
  <c r="B31" s="1"/>
  <c r="D31" s="1"/>
  <c r="B32" s="1"/>
  <c r="D32" s="1"/>
  <c r="B33" s="1"/>
  <c r="D33" s="1"/>
  <c r="B34" s="1"/>
  <c r="D34" s="1"/>
  <c r="B35" s="1"/>
  <c r="D35" s="1"/>
  <c r="B36" s="1"/>
  <c r="D36" s="1"/>
  <c r="B37" s="1"/>
  <c r="D37" s="1"/>
  <c r="B38" s="1"/>
  <c r="D38" s="1"/>
  <c r="B39" s="1"/>
  <c r="D39" s="1"/>
  <c r="B40" s="1"/>
  <c r="D40" s="1"/>
  <c r="B41" s="1"/>
  <c r="D41" s="1"/>
  <c r="B42" s="1"/>
  <c r="D42" s="1"/>
  <c r="B43" s="1"/>
  <c r="D43" s="1"/>
  <c r="B44" s="1"/>
  <c r="D44" s="1"/>
  <c r="B45" s="1"/>
  <c r="D45" s="1"/>
  <c r="B46" s="1"/>
  <c r="D46" s="1"/>
  <c r="B47" s="1"/>
  <c r="D47" s="1"/>
  <c r="B48" s="1"/>
  <c r="D48" s="1"/>
  <c r="B49" s="1"/>
  <c r="D49" s="1"/>
  <c r="B50" s="1"/>
  <c r="D50" s="1"/>
  <c r="B51" s="1"/>
  <c r="D51" s="1"/>
  <c r="B52" s="1"/>
  <c r="D52" s="1"/>
  <c r="B53" s="1"/>
  <c r="D53" s="1"/>
  <c r="B54" s="1"/>
  <c r="D54" s="1"/>
  <c r="B55" s="1"/>
  <c r="D55" s="1"/>
  <c r="B56" s="1"/>
  <c r="D56" s="1"/>
  <c r="B57" s="1"/>
  <c r="D57" s="1"/>
  <c r="B58" s="1"/>
  <c r="D58" s="1"/>
  <c r="B59" s="1"/>
  <c r="D59" s="1"/>
  <c r="B60" s="1"/>
  <c r="D60" s="1"/>
  <c r="B61" s="1"/>
  <c r="D61" s="1"/>
  <c r="B62" s="1"/>
  <c r="D62" s="1"/>
  <c r="B63" s="1"/>
  <c r="D63" s="1"/>
  <c r="B64" s="1"/>
  <c r="D64" s="1"/>
  <c r="B65" s="1"/>
  <c r="D65" s="1"/>
  <c r="B66" s="1"/>
  <c r="D66" s="1"/>
  <c r="G60" i="21"/>
  <c r="D8"/>
  <c r="B9" s="1"/>
  <c r="D9" s="1"/>
  <c r="B10" s="1"/>
  <c r="D10" s="1"/>
  <c r="B11" s="1"/>
  <c r="D11" s="1"/>
  <c r="B12" s="1"/>
  <c r="D12" s="1"/>
  <c r="B13" s="1"/>
  <c r="D13" s="1"/>
  <c r="B14" s="1"/>
  <c r="D14" s="1"/>
  <c r="B15" s="1"/>
  <c r="D15" s="1"/>
  <c r="B16" s="1"/>
  <c r="D16" s="1"/>
  <c r="B17" s="1"/>
  <c r="D17" s="1"/>
  <c r="B18" s="1"/>
  <c r="D18" s="1"/>
  <c r="B19" s="1"/>
  <c r="D19" s="1"/>
  <c r="B20" s="1"/>
  <c r="D20" s="1"/>
  <c r="B21" s="1"/>
  <c r="D21" s="1"/>
  <c r="B22" s="1"/>
  <c r="D22" s="1"/>
  <c r="B23" s="1"/>
  <c r="D23" s="1"/>
  <c r="B24" s="1"/>
  <c r="D24" s="1"/>
  <c r="B25" s="1"/>
  <c r="D25" s="1"/>
  <c r="B26" s="1"/>
  <c r="D26" s="1"/>
  <c r="B27" s="1"/>
  <c r="D27" s="1"/>
  <c r="B28" s="1"/>
  <c r="D28" s="1"/>
  <c r="B29" s="1"/>
  <c r="D29" s="1"/>
  <c r="B30" s="1"/>
  <c r="D30" s="1"/>
  <c r="B31" s="1"/>
  <c r="D31" s="1"/>
  <c r="B32" s="1"/>
  <c r="D32" s="1"/>
  <c r="B33" s="1"/>
  <c r="D33" s="1"/>
  <c r="B34" s="1"/>
  <c r="D34" s="1"/>
  <c r="B35" s="1"/>
  <c r="D35" s="1"/>
  <c r="B36" s="1"/>
  <c r="D36" s="1"/>
  <c r="B37" s="1"/>
  <c r="D37" s="1"/>
  <c r="B38" s="1"/>
  <c r="D38" s="1"/>
  <c r="B39" s="1"/>
  <c r="D39" s="1"/>
  <c r="B40" s="1"/>
  <c r="D40" s="1"/>
  <c r="B41" s="1"/>
  <c r="D41" s="1"/>
  <c r="B42" s="1"/>
  <c r="D42" s="1"/>
  <c r="B43" s="1"/>
  <c r="D43" s="1"/>
  <c r="B44" s="1"/>
  <c r="D44" s="1"/>
  <c r="B45" s="1"/>
  <c r="D45" s="1"/>
  <c r="B46" s="1"/>
  <c r="D46" s="1"/>
  <c r="B47" s="1"/>
  <c r="D47" s="1"/>
  <c r="B48" s="1"/>
  <c r="D48" s="1"/>
  <c r="B49" s="1"/>
  <c r="D49" s="1"/>
  <c r="B50" s="1"/>
  <c r="D50" s="1"/>
  <c r="B51" s="1"/>
  <c r="D51" s="1"/>
  <c r="B52" s="1"/>
  <c r="D52" s="1"/>
  <c r="G50" i="20"/>
  <c r="D8"/>
  <c r="B9" s="1"/>
  <c r="D9" s="1"/>
  <c r="B10" s="1"/>
  <c r="D10" s="1"/>
  <c r="B11" s="1"/>
  <c r="D11" s="1"/>
  <c r="B12" s="1"/>
  <c r="D12" s="1"/>
  <c r="B13" s="1"/>
  <c r="D13" s="1"/>
  <c r="B14" s="1"/>
  <c r="D14" s="1"/>
  <c r="B15" s="1"/>
  <c r="D15" s="1"/>
  <c r="B16" s="1"/>
  <c r="D16" s="1"/>
  <c r="B17" s="1"/>
  <c r="D17" s="1"/>
  <c r="B18" s="1"/>
  <c r="D18" s="1"/>
  <c r="B19" s="1"/>
  <c r="D19" s="1"/>
  <c r="B20" s="1"/>
  <c r="D20" s="1"/>
  <c r="B21" s="1"/>
  <c r="D21" s="1"/>
  <c r="B22" s="1"/>
  <c r="D22" s="1"/>
  <c r="B23" s="1"/>
  <c r="D23" s="1"/>
  <c r="B24" s="1"/>
  <c r="D24" s="1"/>
  <c r="B25" s="1"/>
  <c r="D25" s="1"/>
  <c r="B26" s="1"/>
  <c r="D26" s="1"/>
  <c r="B27" s="1"/>
  <c r="D27" s="1"/>
  <c r="B28" s="1"/>
  <c r="D28" s="1"/>
  <c r="B29" s="1"/>
  <c r="D29" s="1"/>
  <c r="B30" s="1"/>
  <c r="D30" s="1"/>
  <c r="B31" s="1"/>
  <c r="D31" s="1"/>
  <c r="B32" s="1"/>
  <c r="D32" s="1"/>
  <c r="B33" s="1"/>
  <c r="D33" s="1"/>
  <c r="B34" s="1"/>
  <c r="D34" s="1"/>
  <c r="B35" s="1"/>
  <c r="D35" s="1"/>
  <c r="B36" s="1"/>
  <c r="D36" s="1"/>
  <c r="B37" s="1"/>
  <c r="D37" s="1"/>
  <c r="B38" s="1"/>
  <c r="D38" s="1"/>
  <c r="B39" s="1"/>
  <c r="D39" s="1"/>
  <c r="B40" s="1"/>
  <c r="D40" s="1"/>
  <c r="B41" s="1"/>
  <c r="D41" s="1"/>
  <c r="B42" s="1"/>
  <c r="D42" s="1"/>
  <c r="G65" i="19"/>
  <c r="G59"/>
  <c r="G58"/>
  <c r="G57"/>
  <c r="D8"/>
  <c r="B9" s="1"/>
  <c r="D9" s="1"/>
  <c r="B10" s="1"/>
  <c r="D10" s="1"/>
  <c r="B11" s="1"/>
  <c r="D11" s="1"/>
  <c r="B12" s="1"/>
  <c r="D12" s="1"/>
  <c r="B13" s="1"/>
  <c r="D13" s="1"/>
  <c r="B14" s="1"/>
  <c r="D14" s="1"/>
  <c r="B15" s="1"/>
  <c r="D15" s="1"/>
  <c r="B16" s="1"/>
  <c r="D16" s="1"/>
  <c r="B17" s="1"/>
  <c r="D17" s="1"/>
  <c r="B18" s="1"/>
  <c r="D18" s="1"/>
  <c r="B19" s="1"/>
  <c r="D19" s="1"/>
  <c r="B20" s="1"/>
  <c r="D20" s="1"/>
  <c r="B21" s="1"/>
  <c r="D21" s="1"/>
  <c r="B22" s="1"/>
  <c r="D22" s="1"/>
  <c r="B23" s="1"/>
  <c r="D23" s="1"/>
  <c r="B24" s="1"/>
  <c r="D24" s="1"/>
  <c r="B25" s="1"/>
  <c r="D25" s="1"/>
  <c r="B26" s="1"/>
  <c r="D26" s="1"/>
  <c r="B27" s="1"/>
  <c r="D27" s="1"/>
  <c r="B28" s="1"/>
  <c r="D28" s="1"/>
  <c r="B29" s="1"/>
  <c r="D29" s="1"/>
  <c r="B30" s="1"/>
  <c r="D30" s="1"/>
  <c r="B31" s="1"/>
  <c r="D31" s="1"/>
  <c r="B32" s="1"/>
  <c r="D32" s="1"/>
  <c r="B33" s="1"/>
  <c r="D33" s="1"/>
  <c r="B34" s="1"/>
  <c r="D34" s="1"/>
  <c r="B35" s="1"/>
  <c r="D35" s="1"/>
  <c r="B36" s="1"/>
  <c r="D36" s="1"/>
  <c r="B37" s="1"/>
  <c r="D37" s="1"/>
  <c r="B38" s="1"/>
  <c r="D38" s="1"/>
  <c r="B39" s="1"/>
  <c r="D39" s="1"/>
  <c r="B40" s="1"/>
  <c r="D40" s="1"/>
  <c r="B41" s="1"/>
  <c r="D41" s="1"/>
  <c r="B42" s="1"/>
  <c r="D42" s="1"/>
  <c r="B43" s="1"/>
  <c r="D43" s="1"/>
  <c r="B44" s="1"/>
  <c r="D44" s="1"/>
  <c r="B45" s="1"/>
  <c r="D45" s="1"/>
  <c r="B46" s="1"/>
  <c r="D46" s="1"/>
  <c r="B47" s="1"/>
  <c r="D47" s="1"/>
  <c r="B48" s="1"/>
  <c r="D48" s="1"/>
  <c r="B49" s="1"/>
  <c r="D49" s="1"/>
  <c r="B50" s="1"/>
  <c r="D50" s="1"/>
  <c r="B51" s="1"/>
  <c r="D51" s="1"/>
  <c r="G24" i="18" l="1"/>
  <c r="D8"/>
  <c r="B9" s="1"/>
  <c r="D9" s="1"/>
  <c r="B10" s="1"/>
  <c r="D10" s="1"/>
  <c r="B11" s="1"/>
  <c r="D11" s="1"/>
  <c r="B12" s="1"/>
  <c r="D12" s="1"/>
  <c r="D12" i="16"/>
  <c r="G27" l="1"/>
  <c r="G18"/>
  <c r="D8"/>
  <c r="B9" s="1"/>
  <c r="D9" s="1"/>
  <c r="B10" s="1"/>
  <c r="D10" s="1"/>
  <c r="B11" s="1"/>
  <c r="D11" s="1"/>
  <c r="B12" s="1"/>
  <c r="E24" i="15" l="1"/>
  <c r="G24" s="1"/>
  <c r="G14"/>
  <c r="E14"/>
  <c r="G16" s="1"/>
  <c r="G11"/>
  <c r="E11"/>
  <c r="G12" s="1"/>
  <c r="G13" s="1"/>
  <c r="G8"/>
  <c r="E8"/>
  <c r="G10" s="1"/>
  <c r="G24" i="9"/>
  <c r="G21"/>
  <c r="E14" i="14"/>
  <c r="E11"/>
  <c r="G18" i="10"/>
  <c r="E23" i="3"/>
  <c r="E17" i="4"/>
  <c r="E14"/>
  <c r="E11"/>
  <c r="F23"/>
  <c r="G25" i="15" l="1"/>
  <c r="G26" s="1"/>
  <c r="E23" i="9"/>
  <c r="E20"/>
  <c r="E17"/>
  <c r="E14"/>
  <c r="E11"/>
  <c r="G22"/>
  <c r="F29"/>
  <c r="G7" i="3"/>
  <c r="G12"/>
  <c r="G15" i="14"/>
  <c r="E19"/>
  <c r="G19" s="1"/>
  <c r="G13"/>
  <c r="G12"/>
  <c r="G10"/>
  <c r="G9"/>
  <c r="G7"/>
  <c r="G28" i="15" l="1"/>
  <c r="G27"/>
  <c r="G20" i="14"/>
  <c r="G21" s="1"/>
  <c r="G30" i="15" l="1"/>
  <c r="G23" i="14"/>
  <c r="G22"/>
  <c r="G25" s="1"/>
  <c r="G31" i="15" l="1"/>
  <c r="G32" s="1"/>
  <c r="G26" i="14"/>
  <c r="G27" s="1"/>
  <c r="G33" i="15" l="1"/>
  <c r="G34" s="1"/>
  <c r="G28" i="14"/>
  <c r="G29" s="1"/>
  <c r="E12" i="13"/>
  <c r="G12" s="1"/>
  <c r="G13" s="1"/>
  <c r="G14" l="1"/>
  <c r="G15" l="1"/>
  <c r="G16"/>
  <c r="G18" l="1"/>
  <c r="G19" l="1"/>
  <c r="G20" s="1"/>
  <c r="G21" s="1"/>
  <c r="G22" l="1"/>
  <c r="G10" i="10"/>
  <c r="G12" i="9" l="1"/>
  <c r="G18"/>
  <c r="E14" i="10" l="1"/>
  <c r="G14" s="1"/>
  <c r="G9"/>
  <c r="G11" s="1"/>
  <c r="G17" s="1"/>
  <c r="G20" s="1"/>
  <c r="E29" i="9"/>
  <c r="G29" s="1"/>
  <c r="G19"/>
  <c r="G16"/>
  <c r="G15"/>
  <c r="G13"/>
  <c r="G10"/>
  <c r="G7" l="1"/>
  <c r="G9"/>
  <c r="G15" i="10"/>
  <c r="G16" s="1"/>
  <c r="G25" i="9" l="1"/>
  <c r="G30"/>
  <c r="G31" l="1"/>
  <c r="G34" s="1"/>
  <c r="G21" i="10"/>
  <c r="G22" s="1"/>
  <c r="G23" s="1"/>
  <c r="G33" i="9" l="1"/>
  <c r="G32"/>
  <c r="G24" i="10"/>
  <c r="G35" i="9" l="1"/>
  <c r="G36" s="1"/>
  <c r="G37" s="1"/>
  <c r="G38" s="1"/>
  <c r="G39" s="1"/>
  <c r="E10" i="6"/>
  <c r="G10" s="1"/>
  <c r="H22" i="5"/>
  <c r="H21"/>
  <c r="E17"/>
  <c r="G17" s="1"/>
  <c r="G13"/>
  <c r="G12"/>
  <c r="G11"/>
  <c r="G10"/>
  <c r="G14" s="1"/>
  <c r="G13" i="3"/>
  <c r="G11" i="6" l="1"/>
  <c r="G12" s="1"/>
  <c r="H23" i="5"/>
  <c r="H25" s="1"/>
  <c r="G18"/>
  <c r="G19" s="1"/>
  <c r="H24"/>
  <c r="E23" i="4"/>
  <c r="G18"/>
  <c r="G16"/>
  <c r="G15"/>
  <c r="G13"/>
  <c r="G12"/>
  <c r="G10"/>
  <c r="G19" s="1"/>
  <c r="G9"/>
  <c r="G7"/>
  <c r="G23" i="3"/>
  <c r="G24" s="1"/>
  <c r="E14"/>
  <c r="G14" s="1"/>
  <c r="E11"/>
  <c r="G11" s="1"/>
  <c r="E8"/>
  <c r="G8" s="1"/>
  <c r="G6"/>
  <c r="G13" i="6" l="1"/>
  <c r="G14"/>
  <c r="H26" i="5"/>
  <c r="H27" s="1"/>
  <c r="G21"/>
  <c r="G23" s="1"/>
  <c r="G23" i="4"/>
  <c r="G24" s="1"/>
  <c r="G25" s="1"/>
  <c r="G25" i="3"/>
  <c r="G10"/>
  <c r="G16"/>
  <c r="G26" i="4" l="1"/>
  <c r="G16" i="6"/>
  <c r="G17" s="1"/>
  <c r="G18" s="1"/>
  <c r="G24" i="5"/>
  <c r="G25" s="1"/>
  <c r="G27" i="4"/>
  <c r="G27" i="3"/>
  <c r="G29" i="4" l="1"/>
  <c r="G30" s="1"/>
  <c r="G31" s="1"/>
  <c r="G19" i="6"/>
  <c r="G20" s="1"/>
  <c r="G26" i="5"/>
  <c r="G27" s="1"/>
  <c r="G26" i="3"/>
  <c r="G29" s="1"/>
  <c r="G30" l="1"/>
  <c r="G31" s="1"/>
  <c r="G32" i="4"/>
  <c r="G33" s="1"/>
  <c r="G32" i="3" l="1"/>
  <c r="G33" s="1"/>
</calcChain>
</file>

<file path=xl/sharedStrings.xml><?xml version="1.0" encoding="utf-8"?>
<sst xmlns="http://schemas.openxmlformats.org/spreadsheetml/2006/main" count="960" uniqueCount="162">
  <si>
    <t>Калькуляція № ЗН-09</t>
  </si>
  <si>
    <t>на установку плоского дорожнього знаку</t>
  </si>
  <si>
    <t>Склад ланки:</t>
  </si>
  <si>
    <t>Дорожній робітник IV розряду - 2 людини</t>
  </si>
  <si>
    <t>№ п/п</t>
  </si>
  <si>
    <t>Обгрунтування</t>
  </si>
  <si>
    <t>Найменування видів робіт та витрат</t>
  </si>
  <si>
    <t>Один. вим</t>
  </si>
  <si>
    <t>Кількість</t>
  </si>
  <si>
    <t>Ціна один.,грн.</t>
  </si>
  <si>
    <t>Вартість грн</t>
  </si>
  <si>
    <t>ЗП мех</t>
  </si>
  <si>
    <t>1. Матеріали</t>
  </si>
  <si>
    <t>рахунок</t>
  </si>
  <si>
    <t>Знак</t>
  </si>
  <si>
    <t>шт</t>
  </si>
  <si>
    <t>-</t>
  </si>
  <si>
    <t>Болт</t>
  </si>
  <si>
    <t>заготівельно-складські - 2%</t>
  </si>
  <si>
    <t>Гайка</t>
  </si>
  <si>
    <t>разом по розділу 1</t>
  </si>
  <si>
    <t>2. Зарплата основних робочих</t>
  </si>
  <si>
    <t>Установка дорожнього знаку</t>
  </si>
  <si>
    <t>люд/год</t>
  </si>
  <si>
    <t>Заробітна плата</t>
  </si>
  <si>
    <t>премія - 42%</t>
  </si>
  <si>
    <t>разом по розділу 2</t>
  </si>
  <si>
    <t>Нарахування на заробітну плату (осн. та мех) 22%</t>
  </si>
  <si>
    <t>Разом:</t>
  </si>
  <si>
    <t>Рентабельність 12%</t>
  </si>
  <si>
    <t>Разом по калькуляції:</t>
  </si>
  <si>
    <t>ПДВ - 20%</t>
  </si>
  <si>
    <t>Всього до оплати:</t>
  </si>
  <si>
    <t>Економіст</t>
  </si>
  <si>
    <t>Беца Г.І.</t>
  </si>
  <si>
    <t>Виконавець</t>
  </si>
  <si>
    <t>Перевірено:</t>
  </si>
  <si>
    <t>Калькуляція № ЗН-10</t>
  </si>
  <si>
    <t>на демонтаж плоского дорожнього знаку</t>
  </si>
  <si>
    <t>1. Зарплата основних робочих</t>
  </si>
  <si>
    <t>Демонтаж дорожнього знаку</t>
  </si>
  <si>
    <t>Всього по розділах 1+2</t>
  </si>
  <si>
    <t>Бундзяк С.М.</t>
  </si>
  <si>
    <t>Калькуляція № ЗН-04</t>
  </si>
  <si>
    <t>на установку нової стійки 4м</t>
  </si>
  <si>
    <t>Ціна,грн.</t>
  </si>
  <si>
    <t>ЗН-02</t>
  </si>
  <si>
    <t>Стійка</t>
  </si>
  <si>
    <t>заготівельно-складські - 0,75%</t>
  </si>
  <si>
    <t>м3</t>
  </si>
  <si>
    <t>Пісок</t>
  </si>
  <si>
    <t>Цемент М-400</t>
  </si>
  <si>
    <t>т</t>
  </si>
  <si>
    <t>Риття ями під фундамент стійки 0,4*0,4*0,6</t>
  </si>
  <si>
    <t>Замішування бетона вручну-0,096 м3</t>
  </si>
  <si>
    <t>Погрузка сміття</t>
  </si>
  <si>
    <t>Монтаж стійки та перехід від одного знаку до іншого</t>
  </si>
  <si>
    <t>Калькуляція № ЗН-02</t>
  </si>
  <si>
    <t>на виготовлення металевої стійки 4м</t>
  </si>
  <si>
    <t>Дорожній робітник IV розряду - 1 людина</t>
  </si>
  <si>
    <t>Електрогазозварник V розряду - 1 людина</t>
  </si>
  <si>
    <t>кг</t>
  </si>
  <si>
    <t>Уайт-спірит</t>
  </si>
  <si>
    <t>Виготовлення металевої стійки</t>
  </si>
  <si>
    <t>Фарбування стійки за 2 рази</t>
  </si>
  <si>
    <t>Щебінь 10*20</t>
  </si>
  <si>
    <t>Всього по розділах 1</t>
  </si>
  <si>
    <t>Калькуляція № ЗН-07</t>
  </si>
  <si>
    <t>на рихтування знаку (із зняттям та монтажем знаку)</t>
  </si>
  <si>
    <t>Демонтаж знаку</t>
  </si>
  <si>
    <t>Рихтування знаку</t>
  </si>
  <si>
    <t>Монтаж знаку</t>
  </si>
  <si>
    <t>премія -42%</t>
  </si>
  <si>
    <t>Майстер</t>
  </si>
  <si>
    <t>Калькуляція № ЗН-01</t>
  </si>
  <si>
    <t>на виготовлення кронштейнів для установки дорожніх знаків</t>
  </si>
  <si>
    <t>Виготовлення кронштейну</t>
  </si>
  <si>
    <t>Фарбування кронштейну</t>
  </si>
  <si>
    <t>Калькуляція № ЗН-05</t>
  </si>
  <si>
    <t>на установку кронштейна</t>
  </si>
  <si>
    <t>№ЗН-01</t>
  </si>
  <si>
    <t>Кронштейн</t>
  </si>
  <si>
    <t>Монтаж кронштейна та перехід від одного знака до іншого</t>
  </si>
  <si>
    <t>заготівельно-складські - 0,75 %</t>
  </si>
  <si>
    <t>Кутник 32х32х4 (1,68 кг - 1 м.п.)</t>
  </si>
  <si>
    <t>Емаль сіра  (180гр/м2)</t>
  </si>
  <si>
    <t>Емаль  сіра (180гр/м2)</t>
  </si>
  <si>
    <t>Калькуляція № ЗН-11</t>
  </si>
  <si>
    <t>на фарбування трубостійок для дорожніх знаків</t>
  </si>
  <si>
    <t>Пензель</t>
  </si>
  <si>
    <t>Розчинник 1 л/б</t>
  </si>
  <si>
    <t>л</t>
  </si>
  <si>
    <t>Емаль  сіра 2,8 кг/бан</t>
  </si>
  <si>
    <t>шт.</t>
  </si>
  <si>
    <t xml:space="preserve"> Економіст</t>
  </si>
  <si>
    <t>транспортні витрати -  34,09 грн/м3</t>
  </si>
  <si>
    <t xml:space="preserve">Проф труба 40х20х3 </t>
  </si>
  <si>
    <t>м</t>
  </si>
  <si>
    <t xml:space="preserve">Арматура діам 8 </t>
  </si>
  <si>
    <t>Нетребко Т.О.</t>
  </si>
  <si>
    <t>б/ц</t>
  </si>
  <si>
    <t>Демонтаж старої стійки</t>
  </si>
  <si>
    <t xml:space="preserve">на перенесення існуючої стійки 4м </t>
  </si>
  <si>
    <t>Час</t>
  </si>
  <si>
    <t>Найменування робіт</t>
  </si>
  <si>
    <t>Тривалість</t>
  </si>
  <si>
    <t>Виготовлення кронштейнів з покраскою за 2 рази краскою</t>
  </si>
  <si>
    <t>Обідня перерва</t>
  </si>
  <si>
    <t>Збирання сміття та складання інструменту</t>
  </si>
  <si>
    <t>Було виготовлено 6 кронштейнів</t>
  </si>
  <si>
    <t>Норми витрити матеріалів</t>
  </si>
  <si>
    <t>Норми витрати часу роботи дорожніх робітників</t>
  </si>
  <si>
    <t>Підписи членів комісії:</t>
  </si>
  <si>
    <t>____________________</t>
  </si>
  <si>
    <t>Формулювання завдань виконавцем робіт 2-м дорожнім робітникам та видача необхідного матеріалу</t>
  </si>
  <si>
    <t>Бубряк Ю.В.</t>
  </si>
  <si>
    <t>Ющик Р.О.</t>
  </si>
  <si>
    <t>Виготовлення стійок з покраскою за 2 рази краскою</t>
  </si>
  <si>
    <t>Було виготовлено 20 стійок</t>
  </si>
  <si>
    <t>Формулювання завдань майстром 2-м робітникам та видача необхідного матеріалу: стійка, щебінь, пісок, цемент та інструмент для виконання даної роботи</t>
  </si>
  <si>
    <t>Навантаження матеріалу та інструментів та прибуття на місце установки</t>
  </si>
  <si>
    <t>Розгрузка матеріалу та інструменту</t>
  </si>
  <si>
    <t>Розмітка місця установки стійки</t>
  </si>
  <si>
    <t>Копання ями розміром 0,4м * 0,4м * 0,6м (глибина)</t>
  </si>
  <si>
    <t>Замішування бетона вручну</t>
  </si>
  <si>
    <t>Установка стійки та її бетонування</t>
  </si>
  <si>
    <t>Збирання сміття із навантаженням на машину, яка під'їхала для переміщення до наступного знаку</t>
  </si>
  <si>
    <t>Завантаження робочими інструменту та залишок матеріалу</t>
  </si>
  <si>
    <t>Переміщення до наступної стійки</t>
  </si>
  <si>
    <t>Установка стійки з її бетонуванням</t>
  </si>
  <si>
    <t>Прибуття на фірму</t>
  </si>
  <si>
    <t>Було встановлено 5 стійок</t>
  </si>
  <si>
    <t>Зарплата</t>
  </si>
  <si>
    <t>Формулювання завдань майстром 2-м робітникам та видача необхідного матеріалу: кронштейн та інструмент для виконання даної роботи</t>
  </si>
  <si>
    <t>Установка кронштейна</t>
  </si>
  <si>
    <t>Завантаження робочими інструменту</t>
  </si>
  <si>
    <t>Переміщення до наступної установки</t>
  </si>
  <si>
    <t>Було встановлено 8 кронштейнів</t>
  </si>
  <si>
    <t>Всього витрат :</t>
  </si>
  <si>
    <t>Всього витрат</t>
  </si>
  <si>
    <t>Норми витрат часу роботи дорожніх робітників</t>
  </si>
  <si>
    <t>Рихтовка знаку</t>
  </si>
  <si>
    <t>Установка знаку</t>
  </si>
  <si>
    <t>Переміщення до наступного знаку</t>
  </si>
  <si>
    <t>Було проведено рихтувань 7 знаків</t>
  </si>
  <si>
    <t>Норми витрат матеріалів</t>
  </si>
  <si>
    <t>Розгрузка  інструменту</t>
  </si>
  <si>
    <t>Було встановлено 14 знаків</t>
  </si>
  <si>
    <t>Калькуляція № ЗН-12</t>
  </si>
  <si>
    <t>Було пофарбовано 16 стійок</t>
  </si>
  <si>
    <t>літр</t>
  </si>
  <si>
    <t>Підготовка  та покраска стійок за 2 рази фарбою</t>
  </si>
  <si>
    <t>Труба 50х3 (4,22 кг - 1 м.п.)</t>
  </si>
  <si>
    <t>Арматура 8  (0,9 кг - 1 м.п.)</t>
  </si>
  <si>
    <t>Емаль  сіра</t>
  </si>
  <si>
    <t>Накладні витрати - 64,6 %</t>
  </si>
  <si>
    <t>Накладні витрати - 64,6%</t>
  </si>
  <si>
    <t xml:space="preserve">Труба 50х3,0 </t>
  </si>
  <si>
    <t>транспортні витрати - 80,78 грн/м3</t>
  </si>
  <si>
    <t xml:space="preserve"> транспортні витрати -88,79грн/т</t>
  </si>
  <si>
    <t xml:space="preserve"> транспортні витрати - 88,79 грн/т</t>
  </si>
  <si>
    <t xml:space="preserve"> транспортні витрати - 88,79грн/т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</si>
</sst>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4" fillId="2" borderId="6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0" fontId="7" fillId="0" borderId="21" xfId="0" applyFont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6" xfId="0" applyBorder="1"/>
    <xf numFmtId="0" fontId="7" fillId="0" borderId="16" xfId="0" applyFont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right"/>
    </xf>
    <xf numFmtId="2" fontId="4" fillId="0" borderId="26" xfId="0" applyNumberFormat="1" applyFont="1" applyBorder="1"/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right"/>
    </xf>
    <xf numFmtId="2" fontId="0" fillId="0" borderId="29" xfId="0" applyNumberFormat="1" applyBorder="1"/>
    <xf numFmtId="0" fontId="4" fillId="0" borderId="28" xfId="0" applyFont="1" applyBorder="1" applyAlignment="1">
      <alignment horizontal="right"/>
    </xf>
    <xf numFmtId="2" fontId="4" fillId="0" borderId="29" xfId="0" applyNumberFormat="1" applyFont="1" applyBorder="1"/>
    <xf numFmtId="0" fontId="0" fillId="0" borderId="29" xfId="0" applyBorder="1"/>
    <xf numFmtId="0" fontId="4" fillId="0" borderId="30" xfId="0" applyFont="1" applyBorder="1"/>
    <xf numFmtId="0" fontId="4" fillId="0" borderId="31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2" fontId="4" fillId="0" borderId="32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2" fontId="4" fillId="0" borderId="22" xfId="0" applyNumberFormat="1" applyFont="1" applyBorder="1" applyAlignment="1">
      <alignment horizontal="right"/>
    </xf>
    <xf numFmtId="0" fontId="4" fillId="0" borderId="0" xfId="0" applyFont="1"/>
    <xf numFmtId="0" fontId="4" fillId="2" borderId="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6" fillId="3" borderId="21" xfId="0" applyFont="1" applyFill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top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21" xfId="0" applyBorder="1" applyAlignment="1">
      <alignment horizontal="right"/>
    </xf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0" fillId="0" borderId="22" xfId="0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>
      <alignment horizontal="right"/>
    </xf>
    <xf numFmtId="2" fontId="0" fillId="3" borderId="11" xfId="0" applyNumberFormat="1" applyFill="1" applyBorder="1" applyAlignment="1">
      <alignment horizontal="right"/>
    </xf>
    <xf numFmtId="2" fontId="0" fillId="3" borderId="12" xfId="0" applyNumberFormat="1" applyFill="1" applyBorder="1" applyAlignment="1">
      <alignment horizontal="right"/>
    </xf>
    <xf numFmtId="0" fontId="0" fillId="3" borderId="34" xfId="0" applyFill="1" applyBorder="1"/>
    <xf numFmtId="0" fontId="0" fillId="3" borderId="35" xfId="0" applyFill="1" applyBorder="1"/>
    <xf numFmtId="0" fontId="0" fillId="3" borderId="21" xfId="0" applyFill="1" applyBorder="1" applyAlignment="1">
      <alignment horizontal="center"/>
    </xf>
    <xf numFmtId="0" fontId="0" fillId="3" borderId="0" xfId="0" applyFill="1" applyBorder="1"/>
    <xf numFmtId="2" fontId="6" fillId="3" borderId="22" xfId="0" applyNumberFormat="1" applyFont="1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6" fillId="3" borderId="16" xfId="0" applyFont="1" applyFill="1" applyBorder="1" applyAlignment="1">
      <alignment horizontal="right"/>
    </xf>
    <xf numFmtId="2" fontId="6" fillId="3" borderId="17" xfId="0" applyNumberFormat="1" applyFont="1" applyFill="1" applyBorder="1" applyAlignment="1">
      <alignment horizontal="right"/>
    </xf>
    <xf numFmtId="2" fontId="6" fillId="3" borderId="39" xfId="0" applyNumberFormat="1" applyFont="1" applyFill="1" applyBorder="1" applyAlignment="1"/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0" xfId="0" applyFont="1" applyBorder="1"/>
    <xf numFmtId="0" fontId="0" fillId="0" borderId="21" xfId="0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4" fillId="2" borderId="6" xfId="0" applyFont="1" applyFill="1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8" fillId="0" borderId="11" xfId="0" applyFont="1" applyBorder="1"/>
    <xf numFmtId="0" fontId="0" fillId="0" borderId="11" xfId="0" applyBorder="1" applyAlignment="1">
      <alignment wrapText="1"/>
    </xf>
    <xf numFmtId="0" fontId="0" fillId="0" borderId="0" xfId="0" applyAlignment="1">
      <alignment vertical="top"/>
    </xf>
    <xf numFmtId="2" fontId="0" fillId="3" borderId="11" xfId="0" applyNumberFormat="1" applyFill="1" applyBorder="1"/>
    <xf numFmtId="2" fontId="4" fillId="0" borderId="2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4" fillId="2" borderId="4" xfId="0" applyFon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0" fillId="0" borderId="0" xfId="0" applyAlignment="1"/>
    <xf numFmtId="2" fontId="0" fillId="0" borderId="21" xfId="0" applyNumberForma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/>
    <xf numFmtId="20" fontId="5" fillId="0" borderId="40" xfId="0" applyNumberFormat="1" applyFont="1" applyBorder="1" applyAlignment="1">
      <alignment horizontal="right" vertical="top"/>
    </xf>
    <xf numFmtId="0" fontId="5" fillId="0" borderId="28" xfId="0" applyFont="1" applyBorder="1" applyAlignment="1">
      <alignment horizontal="center" vertical="top"/>
    </xf>
    <xf numFmtId="20" fontId="5" fillId="0" borderId="41" xfId="0" applyNumberFormat="1" applyFont="1" applyBorder="1" applyAlignment="1">
      <alignment horizontal="left" vertical="top"/>
    </xf>
    <xf numFmtId="20" fontId="5" fillId="0" borderId="2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40" xfId="0" applyFont="1" applyBorder="1" applyAlignment="1"/>
    <xf numFmtId="0" fontId="4" fillId="0" borderId="28" xfId="0" applyFont="1" applyBorder="1" applyAlignment="1"/>
    <xf numFmtId="0" fontId="4" fillId="0" borderId="41" xfId="0" applyFont="1" applyBorder="1" applyAlignment="1"/>
    <xf numFmtId="0" fontId="0" fillId="0" borderId="0" xfId="0" applyBorder="1" applyAlignment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165" fontId="0" fillId="0" borderId="21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4" fillId="0" borderId="2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40" xfId="0" applyBorder="1"/>
    <xf numFmtId="1" fontId="0" fillId="0" borderId="41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2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21" xfId="0" applyNumberFormat="1" applyBorder="1" applyAlignment="1">
      <alignment horizontal="right" vertical="center"/>
    </xf>
    <xf numFmtId="0" fontId="4" fillId="0" borderId="41" xfId="0" applyFont="1" applyFill="1" applyBorder="1" applyAlignment="1">
      <alignment horizontal="right"/>
    </xf>
    <xf numFmtId="165" fontId="0" fillId="0" borderId="41" xfId="0" applyNumberForma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0" fontId="4" fillId="0" borderId="42" xfId="0" applyFont="1" applyBorder="1" applyAlignment="1"/>
    <xf numFmtId="0" fontId="4" fillId="0" borderId="34" xfId="0" applyFont="1" applyBorder="1" applyAlignment="1"/>
    <xf numFmtId="0" fontId="4" fillId="0" borderId="35" xfId="0" applyFont="1" applyBorder="1" applyAlignment="1"/>
    <xf numFmtId="0" fontId="4" fillId="0" borderId="43" xfId="0" applyFont="1" applyBorder="1" applyAlignment="1"/>
    <xf numFmtId="0" fontId="4" fillId="0" borderId="44" xfId="0" applyFont="1" applyBorder="1" applyAlignment="1"/>
    <xf numFmtId="0" fontId="4" fillId="0" borderId="45" xfId="0" applyFont="1" applyBorder="1" applyAlignme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28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5" fillId="0" borderId="21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9" fillId="0" borderId="4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Relationship Id="rId4" Type="http://schemas.openxmlformats.org/officeDocument/2006/relationships/package" Target="../embeddings/_________Microsoft_Office_Word10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Relationship Id="rId4" Type="http://schemas.openxmlformats.org/officeDocument/2006/relationships/package" Target="../embeddings/_________Microsoft_Office_Word12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3.docx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4.docx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Relationship Id="rId4" Type="http://schemas.openxmlformats.org/officeDocument/2006/relationships/package" Target="../embeddings/_________Microsoft_Office_Word15.docx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_________Microsoft_Office_Word2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package" Target="../embeddings/_________Microsoft_Office_Word4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package" Target="../embeddings/_________Microsoft_Office_Word6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46"/>
  <sheetViews>
    <sheetView view="pageLayout" topLeftCell="A7" workbookViewId="0">
      <selection activeCell="L19" sqref="L19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85546875" customWidth="1"/>
    <col min="7" max="7" width="9.85546875" customWidth="1"/>
    <col min="8" max="16384" width="9.140625" style="3"/>
  </cols>
  <sheetData>
    <row r="1" spans="1:253" ht="17.25" customHeight="1">
      <c r="A1" s="1"/>
      <c r="B1" s="2"/>
      <c r="C1" s="205" t="s">
        <v>74</v>
      </c>
      <c r="D1" s="205"/>
      <c r="E1" s="205"/>
      <c r="F1" s="205"/>
      <c r="G1" s="1"/>
    </row>
    <row r="2" spans="1:253" s="4" customFormat="1">
      <c r="B2" s="5"/>
      <c r="C2" s="206" t="s">
        <v>75</v>
      </c>
      <c r="D2" s="206"/>
      <c r="E2" s="206"/>
      <c r="F2" s="206"/>
      <c r="G2" s="5"/>
    </row>
    <row r="3" spans="1:253" s="8" customFormat="1" ht="12">
      <c r="A3" s="6"/>
      <c r="B3" s="7" t="s">
        <v>2</v>
      </c>
      <c r="D3" s="6"/>
      <c r="E3" s="7" t="s">
        <v>60</v>
      </c>
      <c r="F3" s="6"/>
      <c r="G3" s="6"/>
    </row>
    <row r="4" spans="1:253" s="8" customFormat="1" ht="12">
      <c r="A4" s="6"/>
      <c r="B4" s="6"/>
      <c r="D4" s="6"/>
      <c r="E4" s="7" t="s">
        <v>59</v>
      </c>
      <c r="F4" s="6"/>
      <c r="G4" s="6"/>
    </row>
    <row r="5" spans="1:253" ht="25.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</row>
    <row r="6" spans="1:253">
      <c r="A6" s="12"/>
      <c r="B6" s="13"/>
      <c r="C6" s="14" t="s">
        <v>12</v>
      </c>
      <c r="D6" s="13"/>
      <c r="E6" s="15"/>
      <c r="F6" s="15"/>
      <c r="G6" s="17"/>
      <c r="H6" s="20"/>
      <c r="J6" s="18"/>
      <c r="K6" s="18"/>
      <c r="L6" s="18"/>
      <c r="M6" s="19"/>
      <c r="O6" s="20"/>
      <c r="Q6" s="18"/>
      <c r="R6" s="18"/>
      <c r="S6" s="18"/>
      <c r="T6" s="19"/>
      <c r="V6" s="20"/>
      <c r="X6" s="18"/>
      <c r="Y6" s="18"/>
      <c r="Z6" s="18"/>
      <c r="AA6" s="19"/>
      <c r="AC6" s="20"/>
      <c r="AE6" s="18"/>
      <c r="AF6" s="18"/>
      <c r="AG6" s="18"/>
      <c r="AH6" s="19"/>
      <c r="AJ6" s="20"/>
      <c r="AL6" s="18"/>
      <c r="AM6" s="18"/>
      <c r="AN6" s="18"/>
      <c r="AO6" s="19"/>
      <c r="AQ6" s="20"/>
      <c r="AS6" s="18"/>
      <c r="AT6" s="18"/>
      <c r="AU6" s="18"/>
      <c r="AV6" s="19"/>
      <c r="AX6" s="20"/>
      <c r="AZ6" s="18"/>
      <c r="BA6" s="18"/>
      <c r="BB6" s="18"/>
      <c r="BC6" s="19"/>
      <c r="BE6" s="20"/>
      <c r="BG6" s="18"/>
      <c r="BH6" s="18"/>
      <c r="BI6" s="18"/>
      <c r="BJ6" s="19"/>
      <c r="BL6" s="20"/>
      <c r="BN6" s="18"/>
      <c r="BO6" s="18"/>
      <c r="BP6" s="18"/>
      <c r="BQ6" s="19"/>
      <c r="BS6" s="20"/>
      <c r="BU6" s="18"/>
      <c r="BV6" s="18"/>
      <c r="BW6" s="18"/>
      <c r="BX6" s="19"/>
      <c r="BZ6" s="20"/>
      <c r="CB6" s="18"/>
      <c r="CC6" s="18"/>
      <c r="CD6" s="18"/>
      <c r="CE6" s="19"/>
      <c r="CG6" s="20"/>
      <c r="CI6" s="18"/>
      <c r="CJ6" s="18"/>
      <c r="CK6" s="18"/>
      <c r="CL6" s="19"/>
      <c r="CN6" s="20"/>
      <c r="CP6" s="18"/>
      <c r="CQ6" s="18"/>
      <c r="CR6" s="18"/>
      <c r="CS6" s="19"/>
      <c r="CU6" s="20"/>
      <c r="CW6" s="18"/>
      <c r="CX6" s="18"/>
      <c r="CY6" s="18"/>
      <c r="CZ6" s="19"/>
      <c r="DB6" s="20"/>
      <c r="DD6" s="18"/>
      <c r="DE6" s="18"/>
      <c r="DF6" s="18"/>
      <c r="DG6" s="19"/>
      <c r="DI6" s="20"/>
      <c r="DK6" s="18"/>
      <c r="DL6" s="18"/>
      <c r="DM6" s="18"/>
      <c r="DN6" s="19"/>
      <c r="DP6" s="20"/>
      <c r="DR6" s="18"/>
      <c r="DS6" s="18"/>
      <c r="DT6" s="18"/>
      <c r="DU6" s="19"/>
      <c r="DW6" s="20"/>
      <c r="DY6" s="18"/>
      <c r="DZ6" s="18"/>
      <c r="EA6" s="18"/>
      <c r="EB6" s="19"/>
      <c r="ED6" s="20"/>
      <c r="EF6" s="18"/>
      <c r="EG6" s="18"/>
      <c r="EH6" s="18"/>
      <c r="EI6" s="19"/>
      <c r="EK6" s="20"/>
      <c r="EM6" s="18"/>
      <c r="EN6" s="18"/>
      <c r="EO6" s="18"/>
      <c r="EP6" s="19"/>
      <c r="ER6" s="20"/>
      <c r="ET6" s="18"/>
      <c r="EU6" s="18"/>
      <c r="EV6" s="18"/>
      <c r="EW6" s="19"/>
      <c r="EY6" s="20"/>
      <c r="FA6" s="18"/>
      <c r="FB6" s="18"/>
      <c r="FC6" s="18"/>
      <c r="FD6" s="19"/>
      <c r="FF6" s="20"/>
      <c r="FH6" s="18"/>
      <c r="FI6" s="18"/>
      <c r="FJ6" s="18"/>
      <c r="FK6" s="19"/>
      <c r="FM6" s="20"/>
      <c r="FO6" s="18"/>
      <c r="FP6" s="18"/>
      <c r="FQ6" s="18"/>
      <c r="FR6" s="19"/>
      <c r="FT6" s="20"/>
      <c r="FV6" s="18"/>
      <c r="FW6" s="18"/>
      <c r="FX6" s="18"/>
      <c r="FY6" s="19"/>
      <c r="GA6" s="20"/>
      <c r="GC6" s="18"/>
      <c r="GD6" s="18"/>
      <c r="GE6" s="18"/>
      <c r="GF6" s="19"/>
      <c r="GH6" s="20"/>
      <c r="GJ6" s="18"/>
      <c r="GK6" s="18"/>
      <c r="GL6" s="18"/>
      <c r="GM6" s="19"/>
      <c r="GO6" s="20"/>
      <c r="GQ6" s="18"/>
      <c r="GR6" s="18"/>
      <c r="GS6" s="18"/>
      <c r="GT6" s="19"/>
      <c r="GV6" s="20"/>
      <c r="GX6" s="18"/>
      <c r="GY6" s="18"/>
      <c r="GZ6" s="18"/>
      <c r="HA6" s="19"/>
      <c r="HC6" s="20"/>
      <c r="HE6" s="18"/>
      <c r="HF6" s="18"/>
      <c r="HG6" s="18"/>
      <c r="HH6" s="19"/>
      <c r="HJ6" s="20"/>
      <c r="HL6" s="18"/>
      <c r="HM6" s="18"/>
      <c r="HN6" s="18"/>
      <c r="HO6" s="19"/>
      <c r="HQ6" s="20"/>
      <c r="HS6" s="18"/>
      <c r="HT6" s="18"/>
      <c r="HU6" s="18"/>
      <c r="HV6" s="19"/>
      <c r="HX6" s="20"/>
      <c r="HZ6" s="18"/>
      <c r="IA6" s="18"/>
      <c r="IB6" s="18"/>
      <c r="IC6" s="19"/>
      <c r="IE6" s="20"/>
      <c r="IG6" s="18"/>
      <c r="IH6" s="18"/>
      <c r="II6" s="18"/>
      <c r="IJ6" s="19"/>
      <c r="IL6" s="20"/>
      <c r="IN6" s="18"/>
      <c r="IO6" s="18"/>
      <c r="IP6" s="18"/>
      <c r="IQ6" s="19"/>
      <c r="IS6" s="20"/>
    </row>
    <row r="7" spans="1:253">
      <c r="A7" s="26">
        <v>1</v>
      </c>
      <c r="B7" s="27" t="s">
        <v>13</v>
      </c>
      <c r="C7" s="28" t="s">
        <v>96</v>
      </c>
      <c r="D7" s="27" t="s">
        <v>97</v>
      </c>
      <c r="E7" s="29">
        <v>1.5</v>
      </c>
      <c r="F7" s="30">
        <v>36.36</v>
      </c>
      <c r="G7" s="31">
        <f>E7*F7</f>
        <v>54.54</v>
      </c>
    </row>
    <row r="8" spans="1:253">
      <c r="A8" s="81"/>
      <c r="B8" s="82"/>
      <c r="C8" s="83"/>
      <c r="D8" s="84"/>
      <c r="E8" s="85" t="s">
        <v>159</v>
      </c>
      <c r="F8" s="3"/>
      <c r="G8" s="88">
        <f>88.79*E7/1000</f>
        <v>0.133185</v>
      </c>
    </row>
    <row r="9" spans="1:253">
      <c r="A9" s="32"/>
      <c r="B9" s="33"/>
      <c r="C9" s="34"/>
      <c r="D9" s="35"/>
      <c r="E9" s="36" t="s">
        <v>48</v>
      </c>
      <c r="F9" s="3"/>
      <c r="G9" s="37">
        <f>(F7+G8)*0.75%</f>
        <v>0.27369888749999999</v>
      </c>
    </row>
    <row r="10" spans="1:253" ht="13.5" customHeight="1">
      <c r="A10" s="26">
        <v>2</v>
      </c>
      <c r="B10" s="27" t="s">
        <v>13</v>
      </c>
      <c r="C10" s="28" t="s">
        <v>85</v>
      </c>
      <c r="D10" s="27" t="s">
        <v>61</v>
      </c>
      <c r="E10" s="29">
        <v>0.12</v>
      </c>
      <c r="F10" s="30">
        <v>53.57</v>
      </c>
      <c r="G10" s="31">
        <f>E10*F10</f>
        <v>6.4283999999999999</v>
      </c>
    </row>
    <row r="11" spans="1:253">
      <c r="A11" s="81"/>
      <c r="B11" s="82"/>
      <c r="C11" s="83"/>
      <c r="D11" s="84"/>
      <c r="E11" s="85" t="str">
        <f>E8</f>
        <v xml:space="preserve"> транспортні витрати -88,79грн/т</v>
      </c>
      <c r="F11" s="3"/>
      <c r="G11" s="88">
        <f>88.79*E10/1000</f>
        <v>1.0654799999999999E-2</v>
      </c>
    </row>
    <row r="12" spans="1:253">
      <c r="A12" s="32"/>
      <c r="B12" s="33"/>
      <c r="C12" s="34"/>
      <c r="D12" s="35"/>
      <c r="E12" s="36" t="s">
        <v>18</v>
      </c>
      <c r="F12" s="3"/>
      <c r="G12" s="37">
        <f>(F10+G11)*2%</f>
        <v>1.0716130959999999</v>
      </c>
    </row>
    <row r="13" spans="1:253">
      <c r="A13" s="26">
        <v>3</v>
      </c>
      <c r="B13" s="27" t="s">
        <v>13</v>
      </c>
      <c r="C13" s="28" t="s">
        <v>62</v>
      </c>
      <c r="D13" s="27" t="s">
        <v>61</v>
      </c>
      <c r="E13" s="29">
        <v>0.05</v>
      </c>
      <c r="F13" s="30">
        <v>45</v>
      </c>
      <c r="G13" s="31">
        <f>E13*F13</f>
        <v>2.25</v>
      </c>
    </row>
    <row r="14" spans="1:253">
      <c r="A14" s="81"/>
      <c r="B14" s="82"/>
      <c r="C14" s="83"/>
      <c r="D14" s="84"/>
      <c r="E14" s="85" t="str">
        <f>E8</f>
        <v xml:space="preserve"> транспортні витрати -88,79грн/т</v>
      </c>
      <c r="F14" s="3"/>
      <c r="G14" s="88">
        <f>88.79*E13/1000</f>
        <v>4.4395000000000007E-3</v>
      </c>
    </row>
    <row r="15" spans="1:253">
      <c r="A15" s="32"/>
      <c r="B15" s="33"/>
      <c r="C15" s="34"/>
      <c r="D15" s="35"/>
      <c r="E15" s="36" t="s">
        <v>18</v>
      </c>
      <c r="F15" s="3"/>
      <c r="G15" s="37">
        <f>(F13+G14)*2%</f>
        <v>0.90008878999999997</v>
      </c>
    </row>
    <row r="16" spans="1:253">
      <c r="A16" s="26">
        <v>4</v>
      </c>
      <c r="B16" s="27" t="s">
        <v>13</v>
      </c>
      <c r="C16" s="28" t="s">
        <v>17</v>
      </c>
      <c r="D16" s="27" t="s">
        <v>15</v>
      </c>
      <c r="E16" s="29">
        <v>2</v>
      </c>
      <c r="F16" s="30">
        <v>4.3</v>
      </c>
      <c r="G16" s="31">
        <f>E16*F16</f>
        <v>8.6</v>
      </c>
    </row>
    <row r="17" spans="1:8">
      <c r="A17" s="81"/>
      <c r="B17" s="82"/>
      <c r="C17" s="83"/>
      <c r="D17" s="84"/>
      <c r="E17" s="85" t="str">
        <f>E8</f>
        <v xml:space="preserve"> транспортні витрати -88,79грн/т</v>
      </c>
      <c r="F17" s="3"/>
      <c r="G17" s="88">
        <f>88.79*E16/1000</f>
        <v>0.17758000000000002</v>
      </c>
    </row>
    <row r="18" spans="1:8">
      <c r="A18" s="32"/>
      <c r="B18" s="33"/>
      <c r="C18" s="34"/>
      <c r="D18" s="35"/>
      <c r="E18" s="36" t="s">
        <v>18</v>
      </c>
      <c r="F18" s="3"/>
      <c r="G18" s="37">
        <f>(F16+G17)*2%</f>
        <v>8.9551599999999995E-2</v>
      </c>
    </row>
    <row r="19" spans="1:8">
      <c r="A19" s="26">
        <v>5</v>
      </c>
      <c r="B19" s="27" t="s">
        <v>13</v>
      </c>
      <c r="C19" s="28" t="s">
        <v>19</v>
      </c>
      <c r="D19" s="27" t="s">
        <v>15</v>
      </c>
      <c r="E19" s="29">
        <v>2</v>
      </c>
      <c r="F19" s="30">
        <v>1.2</v>
      </c>
      <c r="G19" s="31">
        <f>ROUND(E19*F19,2)</f>
        <v>2.4</v>
      </c>
    </row>
    <row r="20" spans="1:8">
      <c r="A20" s="81"/>
      <c r="B20" s="82"/>
      <c r="C20" s="83"/>
      <c r="D20" s="84"/>
      <c r="E20" s="85" t="str">
        <f>E8</f>
        <v xml:space="preserve"> транспортні витрати -88,79грн/т</v>
      </c>
      <c r="F20" s="3"/>
      <c r="G20" s="88">
        <f>88.79*E19/1000</f>
        <v>0.17758000000000002</v>
      </c>
    </row>
    <row r="21" spans="1:8">
      <c r="A21" s="32"/>
      <c r="B21" s="33"/>
      <c r="C21" s="34"/>
      <c r="D21" s="35"/>
      <c r="E21" s="36" t="s">
        <v>18</v>
      </c>
      <c r="F21" s="3"/>
      <c r="G21" s="37">
        <f>(F19+G20)*2%</f>
        <v>2.7551600000000002E-2</v>
      </c>
    </row>
    <row r="22" spans="1:8">
      <c r="A22" s="26">
        <v>6</v>
      </c>
      <c r="B22" s="27" t="s">
        <v>13</v>
      </c>
      <c r="C22" s="28" t="s">
        <v>89</v>
      </c>
      <c r="D22" s="27" t="s">
        <v>15</v>
      </c>
      <c r="E22" s="29">
        <v>0.1</v>
      </c>
      <c r="F22" s="30">
        <v>15</v>
      </c>
      <c r="G22" s="31">
        <f>ROUND(E22*F22,2)</f>
        <v>1.5</v>
      </c>
    </row>
    <row r="23" spans="1:8">
      <c r="A23" s="81"/>
      <c r="B23" s="82"/>
      <c r="C23" s="83"/>
      <c r="D23" s="84"/>
      <c r="E23" s="85" t="str">
        <f>E8</f>
        <v xml:space="preserve"> транспортні витрати -88,79грн/т</v>
      </c>
      <c r="F23" s="3"/>
      <c r="G23" s="88">
        <f>88.79*E22/1000</f>
        <v>8.8790000000000015E-3</v>
      </c>
    </row>
    <row r="24" spans="1:8">
      <c r="A24" s="32"/>
      <c r="B24" s="33"/>
      <c r="C24" s="34"/>
      <c r="D24" s="35"/>
      <c r="E24" s="36" t="s">
        <v>18</v>
      </c>
      <c r="F24" s="3"/>
      <c r="G24" s="37">
        <f>(F22+G23)*2%</f>
        <v>0.30017758</v>
      </c>
    </row>
    <row r="25" spans="1:8" s="4" customFormat="1">
      <c r="A25" s="207" t="s">
        <v>20</v>
      </c>
      <c r="B25" s="208"/>
      <c r="C25" s="208"/>
      <c r="D25" s="208"/>
      <c r="E25" s="126"/>
      <c r="F25" s="126"/>
      <c r="G25" s="38">
        <f>SUM(G7:G9,G10:G12,G13:G15,G16:G18,G19:G21,G22:G24)</f>
        <v>78.893399853499972</v>
      </c>
      <c r="H25" s="93"/>
    </row>
    <row r="26" spans="1:8">
      <c r="A26" s="12"/>
      <c r="B26" s="13"/>
      <c r="C26" s="14" t="s">
        <v>21</v>
      </c>
      <c r="D26" s="13"/>
      <c r="E26" s="15"/>
      <c r="F26" s="15"/>
      <c r="G26" s="17"/>
    </row>
    <row r="27" spans="1:8">
      <c r="A27" s="26">
        <v>1</v>
      </c>
      <c r="B27" s="28"/>
      <c r="C27" s="28" t="s">
        <v>76</v>
      </c>
      <c r="D27" s="27" t="s">
        <v>23</v>
      </c>
      <c r="E27" s="29">
        <v>2.2000000000000002</v>
      </c>
      <c r="F27" s="29"/>
      <c r="G27" s="44"/>
    </row>
    <row r="28" spans="1:8">
      <c r="A28" s="94">
        <v>2</v>
      </c>
      <c r="B28" s="90"/>
      <c r="C28" s="90" t="s">
        <v>77</v>
      </c>
      <c r="D28" s="84" t="s">
        <v>23</v>
      </c>
      <c r="E28" s="95">
        <v>0.14399999999999999</v>
      </c>
      <c r="F28" s="92"/>
      <c r="G28" s="96"/>
    </row>
    <row r="29" spans="1:8" s="4" customFormat="1">
      <c r="A29" s="45"/>
      <c r="B29" s="127"/>
      <c r="C29" s="128"/>
      <c r="D29" s="47" t="s">
        <v>24</v>
      </c>
      <c r="E29" s="49">
        <f>SUM(E26:E28)</f>
        <v>2.3440000000000003</v>
      </c>
      <c r="F29" s="137">
        <f>(66.91+70.52)/2</f>
        <v>68.715000000000003</v>
      </c>
      <c r="G29" s="78">
        <f>E29*F29+0.01</f>
        <v>161.07796000000002</v>
      </c>
      <c r="H29" s="79"/>
    </row>
    <row r="30" spans="1:8">
      <c r="A30" s="51"/>
      <c r="B30" s="129"/>
      <c r="C30" s="130"/>
      <c r="D30" s="53" t="s">
        <v>25</v>
      </c>
      <c r="E30" s="55"/>
      <c r="F30" s="55"/>
      <c r="G30" s="56">
        <f>G29*42%</f>
        <v>67.652743200000003</v>
      </c>
      <c r="H30"/>
    </row>
    <row r="31" spans="1:8" s="4" customFormat="1">
      <c r="A31" s="207" t="s">
        <v>26</v>
      </c>
      <c r="B31" s="208"/>
      <c r="C31" s="208"/>
      <c r="D31" s="208"/>
      <c r="E31" s="126"/>
      <c r="F31" s="126"/>
      <c r="G31" s="131">
        <f>ROUND(SUM(G26:G30),2)</f>
        <v>228.73</v>
      </c>
      <c r="H31" s="93"/>
    </row>
    <row r="32" spans="1:8" customFormat="1">
      <c r="A32" s="57"/>
      <c r="B32" s="58"/>
      <c r="C32" s="58"/>
      <c r="D32" s="59"/>
      <c r="E32" s="58"/>
      <c r="F32" s="60" t="s">
        <v>41</v>
      </c>
      <c r="G32" s="61">
        <f>ROUND(G25+G31,2)</f>
        <v>307.62</v>
      </c>
      <c r="H32" s="79"/>
    </row>
    <row r="33" spans="1:8" customFormat="1">
      <c r="A33" s="62"/>
      <c r="B33" s="63"/>
      <c r="C33" s="63"/>
      <c r="D33" s="64"/>
      <c r="E33" s="63"/>
      <c r="F33" s="65" t="s">
        <v>27</v>
      </c>
      <c r="G33" s="66">
        <f>(G31)*22%</f>
        <v>50.320599999999999</v>
      </c>
    </row>
    <row r="34" spans="1:8" customFormat="1">
      <c r="A34" s="62"/>
      <c r="B34" s="63"/>
      <c r="C34" s="63"/>
      <c r="D34" s="64"/>
      <c r="E34" s="63"/>
      <c r="F34" s="65" t="s">
        <v>155</v>
      </c>
      <c r="G34" s="66">
        <f>(G31)*64.6%</f>
        <v>147.75957999999997</v>
      </c>
    </row>
    <row r="35" spans="1:8" customFormat="1">
      <c r="A35" s="62"/>
      <c r="B35" s="63"/>
      <c r="C35" s="63"/>
      <c r="D35" s="64"/>
      <c r="E35" s="63"/>
      <c r="F35" s="65" t="s">
        <v>28</v>
      </c>
      <c r="G35" s="66">
        <f>ROUND(G32+G33+G34,2)</f>
        <v>505.7</v>
      </c>
    </row>
    <row r="36" spans="1:8" customFormat="1">
      <c r="A36" s="62"/>
      <c r="B36" s="63"/>
      <c r="C36" s="63"/>
      <c r="D36" s="63"/>
      <c r="E36" s="63"/>
      <c r="F36" s="65" t="s">
        <v>29</v>
      </c>
      <c r="G36" s="66">
        <f>ROUND(G35*12%,2)</f>
        <v>60.68</v>
      </c>
      <c r="H36" s="3"/>
    </row>
    <row r="37" spans="1:8" customFormat="1">
      <c r="A37" s="62"/>
      <c r="B37" s="63"/>
      <c r="C37" s="63"/>
      <c r="D37" s="64"/>
      <c r="E37" s="63"/>
      <c r="F37" s="67" t="s">
        <v>30</v>
      </c>
      <c r="G37" s="68">
        <f>ROUND(G35+G36,2)</f>
        <v>566.38</v>
      </c>
      <c r="H37" s="3"/>
    </row>
    <row r="38" spans="1:8" customFormat="1">
      <c r="A38" s="62"/>
      <c r="B38" s="63"/>
      <c r="C38" s="63"/>
      <c r="D38" s="64"/>
      <c r="E38" s="63"/>
      <c r="F38" s="65" t="s">
        <v>31</v>
      </c>
      <c r="G38" s="66">
        <f>ROUND(G37/5,2)</f>
        <v>113.28</v>
      </c>
      <c r="H38" s="3"/>
    </row>
    <row r="39" spans="1:8" s="79" customFormat="1">
      <c r="A39" s="70"/>
      <c r="B39" s="71"/>
      <c r="C39" s="71"/>
      <c r="D39" s="72"/>
      <c r="E39" s="71"/>
      <c r="F39" s="73" t="s">
        <v>32</v>
      </c>
      <c r="G39" s="74">
        <f>ROUND(G37+G38,2)</f>
        <v>679.66</v>
      </c>
      <c r="H39" s="93"/>
    </row>
    <row r="40" spans="1:8">
      <c r="G40" s="93"/>
    </row>
    <row r="41" spans="1:8">
      <c r="B41" s="3"/>
      <c r="C41" s="3"/>
      <c r="D41" s="3"/>
      <c r="E41" s="3"/>
      <c r="F41" s="3"/>
      <c r="G41" s="93"/>
    </row>
    <row r="42" spans="1:8">
      <c r="A42" s="124"/>
      <c r="B42" s="147" t="s">
        <v>35</v>
      </c>
      <c r="C42" s="144"/>
      <c r="D42" t="s">
        <v>42</v>
      </c>
      <c r="F42" s="3"/>
    </row>
    <row r="43" spans="1:8">
      <c r="A43" s="145"/>
      <c r="B43" s="146"/>
      <c r="C43" s="146"/>
      <c r="F43" s="3"/>
    </row>
    <row r="44" spans="1:8">
      <c r="B44" s="147" t="s">
        <v>94</v>
      </c>
      <c r="C44" s="135"/>
      <c r="D44" t="s">
        <v>34</v>
      </c>
      <c r="F44" s="3"/>
    </row>
    <row r="45" spans="1:8">
      <c r="B45" s="135"/>
      <c r="C45" s="135"/>
    </row>
    <row r="46" spans="1:8">
      <c r="B46" s="143" t="s">
        <v>36</v>
      </c>
      <c r="C46" s="148"/>
      <c r="D46" s="148" t="s">
        <v>99</v>
      </c>
      <c r="E46" s="148"/>
      <c r="F46" s="148"/>
      <c r="G46" s="148"/>
    </row>
  </sheetData>
  <mergeCells count="4">
    <mergeCell ref="C1:F1"/>
    <mergeCell ref="C2:F2"/>
    <mergeCell ref="A25:D25"/>
    <mergeCell ref="A31:D31"/>
  </mergeCells>
  <pageMargins left="0.86614173228346458" right="0.43307086614173229" top="1.1417322834645669" bottom="0.59055118110236227" header="0.23622047244094491" footer="0.23622047244094491"/>
  <pageSetup paperSize="9" orientation="portrait" verticalDpi="0" r:id="rId1"/>
  <headerFooter alignWithMargins="0">
    <oddHeader>&amp;L&amp;"Arial Cyr,полужирный"ЗАТВЕРДЖЕНО
Директор ММКП "РБУ"
______________Діус В.В.
29.03.2021р.&amp;R&amp;"Arial Cyr,полужирный"ПОГОДЖЕНО
Начальник УМГ
______________ Блінов А.Ю.
29.03.2021р.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S67"/>
  <sheetViews>
    <sheetView topLeftCell="A25" workbookViewId="0">
      <selection activeCell="L54" sqref="L54"/>
    </sheetView>
  </sheetViews>
  <sheetFormatPr defaultRowHeight="12.75"/>
  <cols>
    <col min="1" max="1" width="4.140625" customWidth="1"/>
    <col min="2" max="2" width="6" customWidth="1"/>
    <col min="3" max="3" width="2.42578125" style="1" customWidth="1"/>
    <col min="4" max="4" width="6.42578125" customWidth="1"/>
    <col min="5" max="5" width="34.7109375" customWidth="1"/>
    <col min="6" max="6" width="9" customWidth="1"/>
    <col min="7" max="7" width="10" customWidth="1"/>
    <col min="8" max="8" width="10.140625" customWidth="1"/>
    <col min="9" max="9" width="9.85546875" style="152" customWidth="1"/>
    <col min="10" max="16384" width="9.140625" style="3"/>
  </cols>
  <sheetData>
    <row r="1" spans="1:9" ht="63" customHeight="1">
      <c r="A1" s="1"/>
      <c r="B1" s="2"/>
      <c r="C1" s="2"/>
      <c r="D1" s="2"/>
      <c r="E1" s="205"/>
      <c r="F1" s="205"/>
      <c r="G1" s="205"/>
      <c r="H1" s="205"/>
    </row>
    <row r="2" spans="1:9" ht="63" customHeight="1">
      <c r="A2" s="1"/>
      <c r="B2" s="2"/>
      <c r="C2" s="2"/>
      <c r="D2" s="2"/>
      <c r="E2" s="149"/>
      <c r="F2" s="149"/>
      <c r="G2" s="149"/>
      <c r="H2" s="149"/>
    </row>
    <row r="3" spans="1:9" ht="63" customHeight="1">
      <c r="A3" s="1"/>
      <c r="B3" s="2"/>
      <c r="C3" s="2"/>
      <c r="D3" s="2"/>
      <c r="E3" s="149"/>
      <c r="F3" s="149"/>
      <c r="G3" s="149"/>
      <c r="H3" s="149"/>
    </row>
    <row r="4" spans="1:9" ht="83.25" customHeight="1">
      <c r="A4" s="1"/>
      <c r="B4" s="2"/>
      <c r="C4" s="2"/>
      <c r="D4" s="2"/>
      <c r="E4" s="149"/>
      <c r="F4" s="149"/>
      <c r="G4" s="149"/>
      <c r="H4" s="149"/>
    </row>
    <row r="5" spans="1:9" s="4" customFormat="1" ht="110.25" customHeight="1">
      <c r="B5" s="5"/>
      <c r="C5" s="150"/>
      <c r="D5" s="5"/>
      <c r="E5" s="206"/>
      <c r="F5" s="206"/>
      <c r="G5" s="206"/>
      <c r="H5" s="206"/>
      <c r="I5" s="5"/>
    </row>
    <row r="6" spans="1:9" s="4" customFormat="1" ht="72" customHeight="1">
      <c r="B6" s="5"/>
      <c r="C6" s="150"/>
      <c r="D6" s="5"/>
      <c r="E6" s="150"/>
      <c r="F6" s="150"/>
      <c r="G6" s="150"/>
      <c r="H6" s="150"/>
      <c r="I6" s="5"/>
    </row>
    <row r="7" spans="1:9" s="156" customFormat="1" ht="16.5" customHeight="1">
      <c r="A7" s="154"/>
      <c r="B7" s="211" t="s">
        <v>103</v>
      </c>
      <c r="C7" s="212"/>
      <c r="D7" s="213"/>
      <c r="E7" s="214" t="s">
        <v>104</v>
      </c>
      <c r="F7" s="214"/>
      <c r="G7" s="214"/>
      <c r="H7" s="214"/>
      <c r="I7" s="155" t="s">
        <v>105</v>
      </c>
    </row>
    <row r="8" spans="1:9" s="8" customFormat="1" ht="26.25" customHeight="1">
      <c r="A8" s="6"/>
      <c r="B8" s="157">
        <v>0.33333333333333331</v>
      </c>
      <c r="C8" s="158" t="s">
        <v>16</v>
      </c>
      <c r="D8" s="159">
        <f>B8+I8</f>
        <v>0.33680555555555552</v>
      </c>
      <c r="E8" s="209" t="s">
        <v>133</v>
      </c>
      <c r="F8" s="209"/>
      <c r="G8" s="209"/>
      <c r="H8" s="209"/>
      <c r="I8" s="160">
        <v>3.472222222222222E-3</v>
      </c>
    </row>
    <row r="9" spans="1:9" s="8" customFormat="1" ht="24.75" customHeight="1">
      <c r="A9" s="6"/>
      <c r="B9" s="157">
        <f>D8</f>
        <v>0.33680555555555552</v>
      </c>
      <c r="C9" s="158" t="s">
        <v>16</v>
      </c>
      <c r="D9" s="159">
        <f t="shared" ref="D9:D52" si="0">B9+I9</f>
        <v>0.35763888888888884</v>
      </c>
      <c r="E9" s="209" t="s">
        <v>120</v>
      </c>
      <c r="F9" s="209"/>
      <c r="G9" s="209"/>
      <c r="H9" s="209"/>
      <c r="I9" s="160">
        <v>2.0833333333333332E-2</v>
      </c>
    </row>
    <row r="10" spans="1:9" s="8" customFormat="1" ht="12">
      <c r="A10" s="6"/>
      <c r="B10" s="157">
        <f t="shared" ref="B10:B52" si="1">D9</f>
        <v>0.35763888888888884</v>
      </c>
      <c r="C10" s="158" t="s">
        <v>16</v>
      </c>
      <c r="D10" s="159">
        <f t="shared" si="0"/>
        <v>0.35972222222222217</v>
      </c>
      <c r="E10" s="209" t="s">
        <v>146</v>
      </c>
      <c r="F10" s="209"/>
      <c r="G10" s="209"/>
      <c r="H10" s="209"/>
      <c r="I10" s="160">
        <v>2.0833333333333333E-3</v>
      </c>
    </row>
    <row r="11" spans="1:9" s="8" customFormat="1" ht="12">
      <c r="A11" s="6"/>
      <c r="B11" s="157">
        <f t="shared" si="1"/>
        <v>0.35972222222222217</v>
      </c>
      <c r="C11" s="158"/>
      <c r="D11" s="159">
        <f t="shared" si="0"/>
        <v>0.36874999999999997</v>
      </c>
      <c r="E11" s="209" t="s">
        <v>69</v>
      </c>
      <c r="F11" s="209"/>
      <c r="G11" s="209"/>
      <c r="H11" s="209"/>
      <c r="I11" s="160">
        <v>9.0277777777777787E-3</v>
      </c>
    </row>
    <row r="12" spans="1:9" s="8" customFormat="1" ht="12">
      <c r="A12" s="6">
        <v>1</v>
      </c>
      <c r="B12" s="157">
        <f t="shared" si="1"/>
        <v>0.36874999999999997</v>
      </c>
      <c r="C12" s="158"/>
      <c r="D12" s="159">
        <f t="shared" si="0"/>
        <v>0.37916666666666665</v>
      </c>
      <c r="E12" s="209" t="s">
        <v>141</v>
      </c>
      <c r="F12" s="209"/>
      <c r="G12" s="209"/>
      <c r="H12" s="209"/>
      <c r="I12" s="160">
        <v>1.0416666666666666E-2</v>
      </c>
    </row>
    <row r="13" spans="1:9" s="8" customFormat="1" ht="12">
      <c r="A13" s="6"/>
      <c r="B13" s="157">
        <f t="shared" si="1"/>
        <v>0.37916666666666665</v>
      </c>
      <c r="C13" s="158"/>
      <c r="D13" s="159">
        <f t="shared" si="0"/>
        <v>0.39305555555555555</v>
      </c>
      <c r="E13" s="209" t="s">
        <v>142</v>
      </c>
      <c r="F13" s="209"/>
      <c r="G13" s="209"/>
      <c r="H13" s="209"/>
      <c r="I13" s="160">
        <v>1.3888888888888888E-2</v>
      </c>
    </row>
    <row r="14" spans="1:9" s="8" customFormat="1" ht="12" customHeight="1">
      <c r="A14" s="6"/>
      <c r="B14" s="157">
        <f t="shared" si="1"/>
        <v>0.39305555555555555</v>
      </c>
      <c r="C14" s="158"/>
      <c r="D14" s="159">
        <f t="shared" si="0"/>
        <v>0.39583333333333331</v>
      </c>
      <c r="E14" s="209" t="s">
        <v>135</v>
      </c>
      <c r="F14" s="209"/>
      <c r="G14" s="209"/>
      <c r="H14" s="209"/>
      <c r="I14" s="160">
        <v>2.7777777777777779E-3</v>
      </c>
    </row>
    <row r="15" spans="1:9" s="8" customFormat="1" ht="12">
      <c r="A15" s="6"/>
      <c r="B15" s="157">
        <f t="shared" si="1"/>
        <v>0.39583333333333331</v>
      </c>
      <c r="C15" s="158"/>
      <c r="D15" s="159">
        <f t="shared" si="0"/>
        <v>0.39930555555555552</v>
      </c>
      <c r="E15" s="209" t="s">
        <v>143</v>
      </c>
      <c r="F15" s="209"/>
      <c r="G15" s="209"/>
      <c r="H15" s="209"/>
      <c r="I15" s="160">
        <v>3.472222222222222E-3</v>
      </c>
    </row>
    <row r="16" spans="1:9" s="8" customFormat="1" ht="12">
      <c r="A16" s="6"/>
      <c r="B16" s="157">
        <f t="shared" si="1"/>
        <v>0.39930555555555552</v>
      </c>
      <c r="C16" s="158" t="s">
        <v>16</v>
      </c>
      <c r="D16" s="159">
        <f t="shared" si="0"/>
        <v>0.40069444444444441</v>
      </c>
      <c r="E16" s="209" t="s">
        <v>146</v>
      </c>
      <c r="F16" s="209"/>
      <c r="G16" s="209"/>
      <c r="H16" s="209"/>
      <c r="I16" s="160">
        <v>1.3888888888888889E-3</v>
      </c>
    </row>
    <row r="17" spans="1:9" s="8" customFormat="1" ht="12">
      <c r="A17" s="6"/>
      <c r="B17" s="157">
        <f t="shared" si="1"/>
        <v>0.40069444444444441</v>
      </c>
      <c r="C17" s="158"/>
      <c r="D17" s="159">
        <f t="shared" si="0"/>
        <v>0.40972222222222221</v>
      </c>
      <c r="E17" s="209" t="s">
        <v>69</v>
      </c>
      <c r="F17" s="209"/>
      <c r="G17" s="209"/>
      <c r="H17" s="209"/>
      <c r="I17" s="160">
        <v>9.0277777777777787E-3</v>
      </c>
    </row>
    <row r="18" spans="1:9" s="8" customFormat="1" ht="12" customHeight="1">
      <c r="A18" s="6">
        <v>2</v>
      </c>
      <c r="B18" s="157">
        <f t="shared" si="1"/>
        <v>0.40972222222222221</v>
      </c>
      <c r="C18" s="158"/>
      <c r="D18" s="159">
        <f t="shared" si="0"/>
        <v>0.4201388888888889</v>
      </c>
      <c r="E18" s="209" t="s">
        <v>141</v>
      </c>
      <c r="F18" s="209"/>
      <c r="G18" s="209"/>
      <c r="H18" s="209"/>
      <c r="I18" s="160">
        <v>1.0416666666666666E-2</v>
      </c>
    </row>
    <row r="19" spans="1:9" s="8" customFormat="1" ht="12">
      <c r="A19" s="6"/>
      <c r="B19" s="157">
        <f t="shared" si="1"/>
        <v>0.4201388888888889</v>
      </c>
      <c r="C19" s="158"/>
      <c r="D19" s="159">
        <f t="shared" si="0"/>
        <v>0.43402777777777779</v>
      </c>
      <c r="E19" s="209" t="s">
        <v>142</v>
      </c>
      <c r="F19" s="209"/>
      <c r="G19" s="209"/>
      <c r="H19" s="209"/>
      <c r="I19" s="160">
        <v>1.3888888888888888E-2</v>
      </c>
    </row>
    <row r="20" spans="1:9" s="8" customFormat="1" ht="12">
      <c r="A20" s="6"/>
      <c r="B20" s="157">
        <f t="shared" si="1"/>
        <v>0.43402777777777779</v>
      </c>
      <c r="C20" s="158" t="s">
        <v>16</v>
      </c>
      <c r="D20" s="159">
        <f t="shared" si="0"/>
        <v>0.43680555555555556</v>
      </c>
      <c r="E20" s="209" t="s">
        <v>135</v>
      </c>
      <c r="F20" s="209"/>
      <c r="G20" s="209"/>
      <c r="H20" s="209"/>
      <c r="I20" s="160">
        <v>2.7777777777777779E-3</v>
      </c>
    </row>
    <row r="21" spans="1:9" s="8" customFormat="1" ht="12">
      <c r="A21" s="6"/>
      <c r="B21" s="157">
        <f t="shared" si="1"/>
        <v>0.43680555555555556</v>
      </c>
      <c r="C21" s="158"/>
      <c r="D21" s="159">
        <f t="shared" si="0"/>
        <v>0.44027777777777777</v>
      </c>
      <c r="E21" s="209" t="s">
        <v>143</v>
      </c>
      <c r="F21" s="209"/>
      <c r="G21" s="209"/>
      <c r="H21" s="209"/>
      <c r="I21" s="160">
        <v>3.472222222222222E-3</v>
      </c>
    </row>
    <row r="22" spans="1:9" s="8" customFormat="1" ht="12" customHeight="1">
      <c r="A22" s="6"/>
      <c r="B22" s="157">
        <f t="shared" si="1"/>
        <v>0.44027777777777777</v>
      </c>
      <c r="C22" s="158"/>
      <c r="D22" s="159">
        <f t="shared" si="0"/>
        <v>0.44236111111111109</v>
      </c>
      <c r="E22" s="209" t="s">
        <v>146</v>
      </c>
      <c r="F22" s="209"/>
      <c r="G22" s="209"/>
      <c r="H22" s="209"/>
      <c r="I22" s="160">
        <v>2.0833333333333333E-3</v>
      </c>
    </row>
    <row r="23" spans="1:9" s="8" customFormat="1" ht="12">
      <c r="A23" s="6"/>
      <c r="B23" s="157">
        <f t="shared" si="1"/>
        <v>0.44236111111111109</v>
      </c>
      <c r="C23" s="158"/>
      <c r="D23" s="159">
        <f t="shared" si="0"/>
        <v>0.4513888888888889</v>
      </c>
      <c r="E23" s="209" t="s">
        <v>69</v>
      </c>
      <c r="F23" s="209"/>
      <c r="G23" s="209"/>
      <c r="H23" s="209"/>
      <c r="I23" s="160">
        <v>9.0277777777777787E-3</v>
      </c>
    </row>
    <row r="24" spans="1:9" s="8" customFormat="1" ht="12">
      <c r="A24" s="6">
        <v>3</v>
      </c>
      <c r="B24" s="157">
        <f t="shared" si="1"/>
        <v>0.4513888888888889</v>
      </c>
      <c r="C24" s="158" t="s">
        <v>16</v>
      </c>
      <c r="D24" s="159">
        <f t="shared" si="0"/>
        <v>0.46180555555555558</v>
      </c>
      <c r="E24" s="209" t="s">
        <v>141</v>
      </c>
      <c r="F24" s="209"/>
      <c r="G24" s="209"/>
      <c r="H24" s="209"/>
      <c r="I24" s="160">
        <v>1.0416666666666666E-2</v>
      </c>
    </row>
    <row r="25" spans="1:9" s="8" customFormat="1" ht="12">
      <c r="A25" s="6"/>
      <c r="B25" s="157">
        <f t="shared" si="1"/>
        <v>0.46180555555555558</v>
      </c>
      <c r="C25" s="158"/>
      <c r="D25" s="159">
        <f t="shared" si="0"/>
        <v>0.47916666666666669</v>
      </c>
      <c r="E25" s="209" t="s">
        <v>142</v>
      </c>
      <c r="F25" s="209"/>
      <c r="G25" s="209"/>
      <c r="H25" s="209"/>
      <c r="I25" s="160">
        <v>1.7361111111111112E-2</v>
      </c>
    </row>
    <row r="26" spans="1:9" s="8" customFormat="1" ht="12" customHeight="1">
      <c r="A26" s="6"/>
      <c r="B26" s="157">
        <f t="shared" si="1"/>
        <v>0.47916666666666669</v>
      </c>
      <c r="C26" s="158"/>
      <c r="D26" s="159">
        <f t="shared" si="0"/>
        <v>0.48194444444444445</v>
      </c>
      <c r="E26" s="209" t="s">
        <v>135</v>
      </c>
      <c r="F26" s="209"/>
      <c r="G26" s="209"/>
      <c r="H26" s="209"/>
      <c r="I26" s="160">
        <v>2.7777777777777779E-3</v>
      </c>
    </row>
    <row r="27" spans="1:9" s="8" customFormat="1" ht="12" customHeight="1">
      <c r="A27" s="6"/>
      <c r="B27" s="157">
        <f t="shared" si="1"/>
        <v>0.48194444444444445</v>
      </c>
      <c r="C27" s="158"/>
      <c r="D27" s="159">
        <f t="shared" si="0"/>
        <v>0.52361111111111114</v>
      </c>
      <c r="E27" s="209" t="s">
        <v>107</v>
      </c>
      <c r="F27" s="209"/>
      <c r="G27" s="209"/>
      <c r="H27" s="209"/>
      <c r="I27" s="160">
        <v>4.1666666666666664E-2</v>
      </c>
    </row>
    <row r="28" spans="1:9" s="8" customFormat="1" ht="12">
      <c r="A28" s="6"/>
      <c r="B28" s="157">
        <f t="shared" si="1"/>
        <v>0.52361111111111114</v>
      </c>
      <c r="C28" s="158"/>
      <c r="D28" s="159">
        <f t="shared" si="0"/>
        <v>0.52708333333333335</v>
      </c>
      <c r="E28" s="209" t="s">
        <v>143</v>
      </c>
      <c r="F28" s="209"/>
      <c r="G28" s="209"/>
      <c r="H28" s="209"/>
      <c r="I28" s="160">
        <v>3.472222222222222E-3</v>
      </c>
    </row>
    <row r="29" spans="1:9" s="8" customFormat="1" ht="12">
      <c r="A29" s="6"/>
      <c r="B29" s="157">
        <f t="shared" si="1"/>
        <v>0.52708333333333335</v>
      </c>
      <c r="C29" s="158" t="s">
        <v>16</v>
      </c>
      <c r="D29" s="159">
        <f t="shared" si="0"/>
        <v>0.52916666666666667</v>
      </c>
      <c r="E29" s="209" t="s">
        <v>146</v>
      </c>
      <c r="F29" s="209"/>
      <c r="G29" s="209"/>
      <c r="H29" s="209"/>
      <c r="I29" s="160">
        <v>2.0833333333333333E-3</v>
      </c>
    </row>
    <row r="30" spans="1:9" s="8" customFormat="1" ht="12">
      <c r="A30" s="6"/>
      <c r="B30" s="157">
        <f t="shared" si="1"/>
        <v>0.52916666666666667</v>
      </c>
      <c r="C30" s="158"/>
      <c r="D30" s="159">
        <f t="shared" si="0"/>
        <v>0.53819444444444442</v>
      </c>
      <c r="E30" s="209" t="s">
        <v>69</v>
      </c>
      <c r="F30" s="209"/>
      <c r="G30" s="209"/>
      <c r="H30" s="209"/>
      <c r="I30" s="160">
        <v>9.0277777777777787E-3</v>
      </c>
    </row>
    <row r="31" spans="1:9" s="8" customFormat="1" ht="12" customHeight="1">
      <c r="A31" s="6">
        <v>4</v>
      </c>
      <c r="B31" s="157">
        <f t="shared" si="1"/>
        <v>0.53819444444444442</v>
      </c>
      <c r="C31" s="158"/>
      <c r="D31" s="159">
        <f t="shared" si="0"/>
        <v>0.54861111111111105</v>
      </c>
      <c r="E31" s="209" t="s">
        <v>141</v>
      </c>
      <c r="F31" s="209"/>
      <c r="G31" s="209"/>
      <c r="H31" s="209"/>
      <c r="I31" s="160">
        <v>1.0416666666666666E-2</v>
      </c>
    </row>
    <row r="32" spans="1:9" s="8" customFormat="1" ht="12">
      <c r="A32" s="6"/>
      <c r="B32" s="157">
        <f t="shared" si="1"/>
        <v>0.54861111111111105</v>
      </c>
      <c r="C32" s="158"/>
      <c r="D32" s="159">
        <f t="shared" si="0"/>
        <v>0.56249999999999989</v>
      </c>
      <c r="E32" s="209" t="s">
        <v>142</v>
      </c>
      <c r="F32" s="209"/>
      <c r="G32" s="209"/>
      <c r="H32" s="209"/>
      <c r="I32" s="160">
        <v>1.3888888888888888E-2</v>
      </c>
    </row>
    <row r="33" spans="1:9" s="8" customFormat="1" ht="12" customHeight="1">
      <c r="A33" s="6"/>
      <c r="B33" s="157">
        <f t="shared" si="1"/>
        <v>0.56249999999999989</v>
      </c>
      <c r="C33" s="158" t="s">
        <v>16</v>
      </c>
      <c r="D33" s="159">
        <f t="shared" si="0"/>
        <v>0.56527777777777766</v>
      </c>
      <c r="E33" s="209" t="s">
        <v>135</v>
      </c>
      <c r="F33" s="209"/>
      <c r="G33" s="209"/>
      <c r="H33" s="209"/>
      <c r="I33" s="160">
        <v>2.7777777777777779E-3</v>
      </c>
    </row>
    <row r="34" spans="1:9" s="8" customFormat="1" ht="12">
      <c r="A34" s="6"/>
      <c r="B34" s="157">
        <f t="shared" si="1"/>
        <v>0.56527777777777766</v>
      </c>
      <c r="C34" s="158" t="s">
        <v>16</v>
      </c>
      <c r="D34" s="159">
        <f t="shared" si="0"/>
        <v>0.56874999999999987</v>
      </c>
      <c r="E34" s="209" t="s">
        <v>143</v>
      </c>
      <c r="F34" s="209"/>
      <c r="G34" s="209"/>
      <c r="H34" s="209"/>
      <c r="I34" s="160">
        <v>3.472222222222222E-3</v>
      </c>
    </row>
    <row r="35" spans="1:9" s="8" customFormat="1" ht="12">
      <c r="A35" s="6"/>
      <c r="B35" s="157">
        <f t="shared" si="1"/>
        <v>0.56874999999999987</v>
      </c>
      <c r="C35" s="158"/>
      <c r="D35" s="159">
        <f t="shared" si="0"/>
        <v>0.57083333333333319</v>
      </c>
      <c r="E35" s="209" t="s">
        <v>146</v>
      </c>
      <c r="F35" s="209"/>
      <c r="G35" s="209"/>
      <c r="H35" s="209"/>
      <c r="I35" s="160">
        <v>2.0833333333333333E-3</v>
      </c>
    </row>
    <row r="36" spans="1:9" s="8" customFormat="1" ht="12" customHeight="1">
      <c r="A36" s="6"/>
      <c r="B36" s="157">
        <f t="shared" si="1"/>
        <v>0.57083333333333319</v>
      </c>
      <c r="C36" s="158"/>
      <c r="D36" s="159">
        <f t="shared" si="0"/>
        <v>0.57986111111111094</v>
      </c>
      <c r="E36" s="209" t="s">
        <v>69</v>
      </c>
      <c r="F36" s="209"/>
      <c r="G36" s="209"/>
      <c r="H36" s="209"/>
      <c r="I36" s="160">
        <v>9.0277777777777787E-3</v>
      </c>
    </row>
    <row r="37" spans="1:9" s="8" customFormat="1" ht="12">
      <c r="A37" s="6">
        <v>5</v>
      </c>
      <c r="B37" s="157">
        <f t="shared" si="1"/>
        <v>0.57986111111111094</v>
      </c>
      <c r="C37" s="158"/>
      <c r="D37" s="159">
        <f t="shared" si="0"/>
        <v>0.59027777777777757</v>
      </c>
      <c r="E37" s="209" t="s">
        <v>141</v>
      </c>
      <c r="F37" s="209"/>
      <c r="G37" s="209"/>
      <c r="H37" s="209"/>
      <c r="I37" s="160">
        <v>1.0416666666666666E-2</v>
      </c>
    </row>
    <row r="38" spans="1:9" s="8" customFormat="1" ht="12">
      <c r="A38" s="6"/>
      <c r="B38" s="157">
        <f t="shared" si="1"/>
        <v>0.59027777777777757</v>
      </c>
      <c r="C38" s="158" t="s">
        <v>16</v>
      </c>
      <c r="D38" s="159">
        <f t="shared" si="0"/>
        <v>0.60416666666666641</v>
      </c>
      <c r="E38" s="209" t="s">
        <v>142</v>
      </c>
      <c r="F38" s="209"/>
      <c r="G38" s="209"/>
      <c r="H38" s="209"/>
      <c r="I38" s="160">
        <v>1.3888888888888888E-2</v>
      </c>
    </row>
    <row r="39" spans="1:9" s="8" customFormat="1" ht="12">
      <c r="A39" s="6"/>
      <c r="B39" s="157">
        <f t="shared" si="1"/>
        <v>0.60416666666666641</v>
      </c>
      <c r="C39" s="158"/>
      <c r="D39" s="159">
        <f t="shared" si="0"/>
        <v>0.60694444444444418</v>
      </c>
      <c r="E39" s="209" t="s">
        <v>135</v>
      </c>
      <c r="F39" s="209"/>
      <c r="G39" s="209"/>
      <c r="H39" s="209"/>
      <c r="I39" s="160">
        <v>2.7777777777777779E-3</v>
      </c>
    </row>
    <row r="40" spans="1:9" s="8" customFormat="1" ht="12" customHeight="1">
      <c r="A40" s="6"/>
      <c r="B40" s="157">
        <f t="shared" si="1"/>
        <v>0.60694444444444418</v>
      </c>
      <c r="C40" s="158"/>
      <c r="D40" s="159">
        <f t="shared" si="0"/>
        <v>0.61041666666666639</v>
      </c>
      <c r="E40" s="209" t="s">
        <v>143</v>
      </c>
      <c r="F40" s="209"/>
      <c r="G40" s="209"/>
      <c r="H40" s="209"/>
      <c r="I40" s="160">
        <v>3.472222222222222E-3</v>
      </c>
    </row>
    <row r="41" spans="1:9" s="8" customFormat="1" ht="12">
      <c r="A41" s="6"/>
      <c r="B41" s="157">
        <f t="shared" si="1"/>
        <v>0.61041666666666639</v>
      </c>
      <c r="C41" s="158"/>
      <c r="D41" s="159">
        <f t="shared" si="0"/>
        <v>0.61249999999999971</v>
      </c>
      <c r="E41" s="209" t="s">
        <v>146</v>
      </c>
      <c r="F41" s="209"/>
      <c r="G41" s="209"/>
      <c r="H41" s="209"/>
      <c r="I41" s="160">
        <v>2.0833333333333333E-3</v>
      </c>
    </row>
    <row r="42" spans="1:9" s="8" customFormat="1" ht="12">
      <c r="A42" s="6"/>
      <c r="B42" s="157">
        <f t="shared" si="1"/>
        <v>0.61249999999999971</v>
      </c>
      <c r="C42" s="158" t="s">
        <v>16</v>
      </c>
      <c r="D42" s="159">
        <f t="shared" si="0"/>
        <v>0.62152777777777746</v>
      </c>
      <c r="E42" s="209" t="s">
        <v>69</v>
      </c>
      <c r="F42" s="209"/>
      <c r="G42" s="209"/>
      <c r="H42" s="209"/>
      <c r="I42" s="160">
        <v>9.0277777777777787E-3</v>
      </c>
    </row>
    <row r="43" spans="1:9" s="8" customFormat="1" ht="12">
      <c r="A43" s="6">
        <v>6</v>
      </c>
      <c r="B43" s="157">
        <f t="shared" si="1"/>
        <v>0.62152777777777746</v>
      </c>
      <c r="C43" s="158"/>
      <c r="D43" s="159">
        <f t="shared" si="0"/>
        <v>0.63194444444444409</v>
      </c>
      <c r="E43" s="209" t="s">
        <v>141</v>
      </c>
      <c r="F43" s="209"/>
      <c r="G43" s="209"/>
      <c r="H43" s="209"/>
      <c r="I43" s="160">
        <v>1.0416666666666666E-2</v>
      </c>
    </row>
    <row r="44" spans="1:9" s="8" customFormat="1" ht="12" customHeight="1">
      <c r="A44" s="6"/>
      <c r="B44" s="157">
        <f t="shared" si="1"/>
        <v>0.63194444444444409</v>
      </c>
      <c r="C44" s="158"/>
      <c r="D44" s="159">
        <f t="shared" si="0"/>
        <v>0.64583333333333293</v>
      </c>
      <c r="E44" s="209" t="s">
        <v>142</v>
      </c>
      <c r="F44" s="209"/>
      <c r="G44" s="209"/>
      <c r="H44" s="209"/>
      <c r="I44" s="160">
        <v>1.3888888888888888E-2</v>
      </c>
    </row>
    <row r="45" spans="1:9" s="8" customFormat="1" ht="12">
      <c r="A45" s="6"/>
      <c r="B45" s="157">
        <f t="shared" si="1"/>
        <v>0.64583333333333293</v>
      </c>
      <c r="C45" s="158"/>
      <c r="D45" s="159">
        <f t="shared" si="0"/>
        <v>0.64861111111111069</v>
      </c>
      <c r="E45" s="209" t="s">
        <v>135</v>
      </c>
      <c r="F45" s="209"/>
      <c r="G45" s="209"/>
      <c r="H45" s="209"/>
      <c r="I45" s="160">
        <v>2.7777777777777779E-3</v>
      </c>
    </row>
    <row r="46" spans="1:9" s="8" customFormat="1" ht="12">
      <c r="A46" s="6"/>
      <c r="B46" s="157">
        <f t="shared" si="1"/>
        <v>0.64861111111111069</v>
      </c>
      <c r="C46" s="158" t="s">
        <v>16</v>
      </c>
      <c r="D46" s="159">
        <f t="shared" si="0"/>
        <v>0.6520833333333329</v>
      </c>
      <c r="E46" s="209" t="s">
        <v>143</v>
      </c>
      <c r="F46" s="209"/>
      <c r="G46" s="209"/>
      <c r="H46" s="209"/>
      <c r="I46" s="160">
        <v>3.472222222222222E-3</v>
      </c>
    </row>
    <row r="47" spans="1:9" s="8" customFormat="1" ht="12">
      <c r="A47" s="6"/>
      <c r="B47" s="157">
        <f t="shared" si="1"/>
        <v>0.6520833333333329</v>
      </c>
      <c r="C47" s="158"/>
      <c r="D47" s="159">
        <f t="shared" si="0"/>
        <v>0.65416666666666623</v>
      </c>
      <c r="E47" s="209" t="s">
        <v>146</v>
      </c>
      <c r="F47" s="209"/>
      <c r="G47" s="209"/>
      <c r="H47" s="209"/>
      <c r="I47" s="160">
        <v>2.0833333333333333E-3</v>
      </c>
    </row>
    <row r="48" spans="1:9" s="8" customFormat="1" ht="12" customHeight="1">
      <c r="A48" s="6"/>
      <c r="B48" s="157">
        <f t="shared" si="1"/>
        <v>0.65416666666666623</v>
      </c>
      <c r="C48" s="158"/>
      <c r="D48" s="159">
        <f t="shared" si="0"/>
        <v>0.66319444444444398</v>
      </c>
      <c r="E48" s="209" t="s">
        <v>69</v>
      </c>
      <c r="F48" s="209"/>
      <c r="G48" s="209"/>
      <c r="H48" s="209"/>
      <c r="I48" s="160">
        <v>9.0277777777777787E-3</v>
      </c>
    </row>
    <row r="49" spans="1:253" s="8" customFormat="1" ht="12">
      <c r="A49" s="6">
        <v>7</v>
      </c>
      <c r="B49" s="157">
        <f t="shared" si="1"/>
        <v>0.66319444444444398</v>
      </c>
      <c r="C49" s="158"/>
      <c r="D49" s="159">
        <f t="shared" si="0"/>
        <v>0.67361111111111061</v>
      </c>
      <c r="E49" s="209" t="s">
        <v>141</v>
      </c>
      <c r="F49" s="209"/>
      <c r="G49" s="209"/>
      <c r="H49" s="209"/>
      <c r="I49" s="160">
        <v>1.0416666666666666E-2</v>
      </c>
    </row>
    <row r="50" spans="1:253" s="8" customFormat="1" ht="12">
      <c r="A50" s="6"/>
      <c r="B50" s="157">
        <f t="shared" si="1"/>
        <v>0.67361111111111061</v>
      </c>
      <c r="C50" s="158" t="s">
        <v>16</v>
      </c>
      <c r="D50" s="159">
        <f t="shared" si="0"/>
        <v>0.68749999999999944</v>
      </c>
      <c r="E50" s="209" t="s">
        <v>142</v>
      </c>
      <c r="F50" s="209"/>
      <c r="G50" s="209"/>
      <c r="H50" s="209"/>
      <c r="I50" s="160">
        <v>1.3888888888888888E-2</v>
      </c>
    </row>
    <row r="51" spans="1:253" s="8" customFormat="1" ht="12">
      <c r="A51" s="6"/>
      <c r="B51" s="157">
        <f t="shared" si="1"/>
        <v>0.68749999999999944</v>
      </c>
      <c r="C51" s="158"/>
      <c r="D51" s="159">
        <f t="shared" si="0"/>
        <v>0.69027777777777721</v>
      </c>
      <c r="E51" s="209" t="s">
        <v>135</v>
      </c>
      <c r="F51" s="209"/>
      <c r="G51" s="209"/>
      <c r="H51" s="209"/>
      <c r="I51" s="160">
        <v>2.7777777777777779E-3</v>
      </c>
    </row>
    <row r="52" spans="1:253" s="8" customFormat="1" ht="12" customHeight="1">
      <c r="A52" s="6"/>
      <c r="B52" s="157">
        <f t="shared" si="1"/>
        <v>0.69027777777777721</v>
      </c>
      <c r="C52" s="158"/>
      <c r="D52" s="159">
        <f t="shared" si="0"/>
        <v>0.70416666666666605</v>
      </c>
      <c r="E52" s="221" t="s">
        <v>130</v>
      </c>
      <c r="F52" s="221"/>
      <c r="G52" s="221"/>
      <c r="H52" s="221"/>
      <c r="I52" s="160">
        <v>1.3888888888888888E-2</v>
      </c>
    </row>
    <row r="53" spans="1:253" s="8" customFormat="1" ht="12">
      <c r="A53" s="6"/>
      <c r="B53" s="157"/>
      <c r="C53" s="158"/>
      <c r="D53" s="159"/>
      <c r="E53" s="220" t="s">
        <v>144</v>
      </c>
      <c r="F53" s="220"/>
      <c r="G53" s="220"/>
      <c r="H53" s="220"/>
      <c r="I53" s="160"/>
    </row>
    <row r="54" spans="1:253" s="8" customFormat="1" ht="50.25" customHeight="1">
      <c r="A54" s="6"/>
      <c r="B54" s="161"/>
      <c r="C54" s="162"/>
      <c r="D54" s="161"/>
      <c r="E54" s="163"/>
      <c r="F54" s="163"/>
      <c r="G54" s="163"/>
      <c r="H54" s="163"/>
      <c r="I54" s="164"/>
    </row>
    <row r="55" spans="1:253" ht="25.5">
      <c r="A55" s="165"/>
      <c r="B55" s="165"/>
      <c r="C55" s="165"/>
      <c r="D55" s="165"/>
      <c r="E55" s="166" t="s">
        <v>6</v>
      </c>
      <c r="F55" s="166" t="s">
        <v>7</v>
      </c>
      <c r="G55" s="166" t="s">
        <v>8</v>
      </c>
      <c r="H55" s="167"/>
      <c r="I55" s="165"/>
    </row>
    <row r="56" spans="1:253">
      <c r="A56" s="172"/>
      <c r="B56" s="172"/>
      <c r="C56" s="172"/>
      <c r="D56" s="172"/>
      <c r="E56" s="169" t="s">
        <v>140</v>
      </c>
      <c r="F56" s="170"/>
      <c r="G56" s="171"/>
      <c r="H56" s="173"/>
      <c r="I56" s="174"/>
    </row>
    <row r="57" spans="1:253">
      <c r="A57" s="172"/>
      <c r="B57" s="172"/>
      <c r="C57" s="172"/>
      <c r="D57" s="172"/>
      <c r="E57" s="117" t="s">
        <v>69</v>
      </c>
      <c r="F57" s="118" t="s">
        <v>23</v>
      </c>
      <c r="G57" s="119">
        <v>0.64</v>
      </c>
      <c r="H57" s="173"/>
      <c r="I57" s="174"/>
    </row>
    <row r="58" spans="1:253">
      <c r="A58" s="172"/>
      <c r="B58" s="172"/>
      <c r="C58" s="172"/>
      <c r="D58" s="172"/>
      <c r="E58" s="117" t="s">
        <v>70</v>
      </c>
      <c r="F58" s="118" t="s">
        <v>23</v>
      </c>
      <c r="G58" s="119">
        <v>0.76</v>
      </c>
      <c r="H58" s="173"/>
      <c r="I58" s="174"/>
    </row>
    <row r="59" spans="1:253">
      <c r="A59" s="172"/>
      <c r="B59" s="172"/>
      <c r="C59" s="172"/>
      <c r="D59" s="172"/>
      <c r="E59" s="117" t="s">
        <v>71</v>
      </c>
      <c r="F59" s="118" t="s">
        <v>23</v>
      </c>
      <c r="G59" s="119">
        <v>0.8</v>
      </c>
      <c r="H59" s="173"/>
      <c r="I59" s="174"/>
    </row>
    <row r="60" spans="1:253">
      <c r="A60" s="172"/>
      <c r="B60" s="172"/>
      <c r="C60" s="172"/>
      <c r="D60" s="172"/>
      <c r="E60" s="91" t="s">
        <v>138</v>
      </c>
      <c r="F60" s="127" t="s">
        <v>23</v>
      </c>
      <c r="G60" s="191">
        <f>SUM(G57:G59)</f>
        <v>2.2000000000000002</v>
      </c>
      <c r="H60" s="173"/>
      <c r="I60" s="174"/>
    </row>
    <row r="62" spans="1:253">
      <c r="D62" s="181" t="s">
        <v>112</v>
      </c>
    </row>
    <row r="63" spans="1:253" customFormat="1" ht="33" customHeight="1">
      <c r="B63" s="76"/>
      <c r="C63" s="1"/>
      <c r="D63" s="76"/>
      <c r="E63" s="76" t="s">
        <v>113</v>
      </c>
      <c r="F63" t="s">
        <v>115</v>
      </c>
      <c r="I63" s="15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customFormat="1" ht="33.75" customHeight="1">
      <c r="C64" s="1"/>
      <c r="E64" s="76" t="s">
        <v>113</v>
      </c>
      <c r="F64" t="s">
        <v>116</v>
      </c>
      <c r="I64" s="15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3:253" customFormat="1" ht="34.5" customHeight="1">
      <c r="C65" s="1"/>
      <c r="E65" s="76" t="s">
        <v>113</v>
      </c>
      <c r="F65" t="s">
        <v>42</v>
      </c>
      <c r="I65" s="15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3:253" customFormat="1" ht="44.25" customHeight="1">
      <c r="C66" s="1"/>
      <c r="E66" s="76"/>
      <c r="I66" s="15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3:253" customFormat="1">
      <c r="C67" s="1"/>
      <c r="E67" s="76"/>
      <c r="I67" s="15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</sheetData>
  <mergeCells count="50">
    <mergeCell ref="E9:H9"/>
    <mergeCell ref="E1:H1"/>
    <mergeCell ref="E5:H5"/>
    <mergeCell ref="B7:D7"/>
    <mergeCell ref="E7:H7"/>
    <mergeCell ref="E8:H8"/>
    <mergeCell ref="E21:H21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33:H33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45:H45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52:H52"/>
    <mergeCell ref="E53:H53"/>
    <mergeCell ref="E46:H46"/>
    <mergeCell ref="E47:H47"/>
    <mergeCell ref="E48:H48"/>
    <mergeCell ref="E49:H49"/>
    <mergeCell ref="E50:H50"/>
    <mergeCell ref="E51:H51"/>
  </mergeCells>
  <pageMargins left="0.65" right="0.43" top="0.32291666666666669" bottom="0.37" header="0.24" footer="0.24"/>
  <pageSetup paperSize="9" orientation="portrait" verticalDpi="0" r:id="rId1"/>
  <headerFooter alignWithMargins="0"/>
  <legacyDrawing r:id="rId2"/>
  <oleObjects>
    <oleObject progId="Word.Document.12" shapeId="6145" r:id="rId3"/>
    <oleObject progId="Word.Document.12" shapeId="6146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S33"/>
  <sheetViews>
    <sheetView view="pageLayout" zoomScaleNormal="100" workbookViewId="0">
      <selection activeCell="L11" sqref="L11"/>
    </sheetView>
  </sheetViews>
  <sheetFormatPr defaultRowHeight="12.75" outlineLevelCol="1"/>
  <cols>
    <col min="1" max="1" width="4.140625" customWidth="1"/>
    <col min="2" max="2" width="11.7109375" customWidth="1"/>
    <col min="3" max="3" width="36.28515625" bestFit="1" customWidth="1"/>
    <col min="4" max="4" width="9.28515625" customWidth="1"/>
    <col min="5" max="5" width="10" customWidth="1"/>
    <col min="6" max="6" width="10.140625" customWidth="1"/>
    <col min="7" max="7" width="9.85546875" customWidth="1"/>
    <col min="8" max="8" width="9.140625" style="3" hidden="1" customWidth="1" outlineLevel="1"/>
    <col min="9" max="9" width="9.140625" style="3" collapsed="1"/>
    <col min="10" max="16384" width="9.140625" style="3"/>
  </cols>
  <sheetData>
    <row r="1" spans="1:253" ht="15.75">
      <c r="A1" s="1"/>
      <c r="B1" s="2"/>
      <c r="C1" s="205" t="s">
        <v>0</v>
      </c>
      <c r="D1" s="205"/>
      <c r="E1" s="205"/>
      <c r="F1" s="205"/>
      <c r="G1" s="1"/>
    </row>
    <row r="2" spans="1:253" s="4" customFormat="1">
      <c r="B2" s="5"/>
      <c r="C2" s="206" t="s">
        <v>1</v>
      </c>
      <c r="D2" s="206"/>
      <c r="E2" s="206"/>
      <c r="F2" s="206"/>
      <c r="G2" s="5"/>
    </row>
    <row r="3" spans="1:253" s="4" customFormat="1">
      <c r="A3" s="114"/>
      <c r="B3" s="114"/>
      <c r="C3" s="114"/>
      <c r="D3" s="114"/>
      <c r="E3" s="114"/>
      <c r="F3" s="114"/>
      <c r="G3" s="114"/>
    </row>
    <row r="4" spans="1:253" s="8" customFormat="1" ht="12">
      <c r="A4" s="6"/>
      <c r="B4" s="7" t="s">
        <v>2</v>
      </c>
      <c r="D4" s="6"/>
      <c r="E4" s="7" t="s">
        <v>3</v>
      </c>
      <c r="F4" s="6"/>
      <c r="G4" s="6"/>
    </row>
    <row r="5" spans="1:253">
      <c r="E5" s="7"/>
    </row>
    <row r="6" spans="1:253" ht="38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10" t="s">
        <v>11</v>
      </c>
    </row>
    <row r="7" spans="1:25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253">
      <c r="A8" s="12"/>
      <c r="B8" s="13"/>
      <c r="C8" s="14" t="s">
        <v>12</v>
      </c>
      <c r="D8" s="13"/>
      <c r="E8" s="15"/>
      <c r="F8" s="16"/>
      <c r="G8" s="17"/>
      <c r="H8"/>
      <c r="J8" s="18"/>
      <c r="K8" s="18"/>
      <c r="L8" s="18"/>
      <c r="M8" s="19"/>
      <c r="O8" s="20"/>
      <c r="Q8" s="18"/>
      <c r="R8" s="18"/>
      <c r="S8" s="18"/>
      <c r="T8" s="19"/>
      <c r="V8" s="20"/>
      <c r="X8" s="18"/>
      <c r="Y8" s="18"/>
      <c r="Z8" s="18"/>
      <c r="AA8" s="19"/>
      <c r="AC8" s="20"/>
      <c r="AE8" s="18"/>
      <c r="AF8" s="18"/>
      <c r="AG8" s="18"/>
      <c r="AH8" s="19"/>
      <c r="AJ8" s="20"/>
      <c r="AL8" s="18"/>
      <c r="AM8" s="18"/>
      <c r="AN8" s="18"/>
      <c r="AO8" s="19"/>
      <c r="AQ8" s="20"/>
      <c r="AS8" s="18"/>
      <c r="AT8" s="18"/>
      <c r="AU8" s="18"/>
      <c r="AV8" s="19"/>
      <c r="AX8" s="20"/>
      <c r="AZ8" s="18"/>
      <c r="BA8" s="18"/>
      <c r="BB8" s="18"/>
      <c r="BC8" s="19"/>
      <c r="BE8" s="20"/>
      <c r="BG8" s="18"/>
      <c r="BH8" s="18"/>
      <c r="BI8" s="18"/>
      <c r="BJ8" s="19"/>
      <c r="BL8" s="20"/>
      <c r="BN8" s="18"/>
      <c r="BO8" s="18"/>
      <c r="BP8" s="18"/>
      <c r="BQ8" s="19"/>
      <c r="BS8" s="20"/>
      <c r="BU8" s="18"/>
      <c r="BV8" s="18"/>
      <c r="BW8" s="18"/>
      <c r="BX8" s="19"/>
      <c r="BZ8" s="20"/>
      <c r="CB8" s="18"/>
      <c r="CC8" s="18"/>
      <c r="CD8" s="18"/>
      <c r="CE8" s="19"/>
      <c r="CG8" s="20"/>
      <c r="CI8" s="18"/>
      <c r="CJ8" s="18"/>
      <c r="CK8" s="18"/>
      <c r="CL8" s="19"/>
      <c r="CN8" s="20"/>
      <c r="CP8" s="18"/>
      <c r="CQ8" s="18"/>
      <c r="CR8" s="18"/>
      <c r="CS8" s="19"/>
      <c r="CU8" s="20"/>
      <c r="CW8" s="18"/>
      <c r="CX8" s="18"/>
      <c r="CY8" s="18"/>
      <c r="CZ8" s="19"/>
      <c r="DB8" s="20"/>
      <c r="DD8" s="18"/>
      <c r="DE8" s="18"/>
      <c r="DF8" s="18"/>
      <c r="DG8" s="19"/>
      <c r="DI8" s="20"/>
      <c r="DK8" s="18"/>
      <c r="DL8" s="18"/>
      <c r="DM8" s="18"/>
      <c r="DN8" s="19"/>
      <c r="DP8" s="20"/>
      <c r="DR8" s="18"/>
      <c r="DS8" s="18"/>
      <c r="DT8" s="18"/>
      <c r="DU8" s="19"/>
      <c r="DW8" s="20"/>
      <c r="DY8" s="18"/>
      <c r="DZ8" s="18"/>
      <c r="EA8" s="18"/>
      <c r="EB8" s="19"/>
      <c r="ED8" s="20"/>
      <c r="EF8" s="18"/>
      <c r="EG8" s="18"/>
      <c r="EH8" s="18"/>
      <c r="EI8" s="19"/>
      <c r="EK8" s="20"/>
      <c r="EM8" s="18"/>
      <c r="EN8" s="18"/>
      <c r="EO8" s="18"/>
      <c r="EP8" s="19"/>
      <c r="ER8" s="20"/>
      <c r="ET8" s="18"/>
      <c r="EU8" s="18"/>
      <c r="EV8" s="18"/>
      <c r="EW8" s="19"/>
      <c r="EY8" s="20"/>
      <c r="FA8" s="18"/>
      <c r="FB8" s="18"/>
      <c r="FC8" s="18"/>
      <c r="FD8" s="19"/>
      <c r="FF8" s="20"/>
      <c r="FH8" s="18"/>
      <c r="FI8" s="18"/>
      <c r="FJ8" s="18"/>
      <c r="FK8" s="19"/>
      <c r="FM8" s="20"/>
      <c r="FO8" s="18"/>
      <c r="FP8" s="18"/>
      <c r="FQ8" s="18"/>
      <c r="FR8" s="19"/>
      <c r="FT8" s="20"/>
      <c r="FV8" s="18"/>
      <c r="FW8" s="18"/>
      <c r="FX8" s="18"/>
      <c r="FY8" s="19"/>
      <c r="GA8" s="20"/>
      <c r="GC8" s="18"/>
      <c r="GD8" s="18"/>
      <c r="GE8" s="18"/>
      <c r="GF8" s="19"/>
      <c r="GH8" s="20"/>
      <c r="GJ8" s="18"/>
      <c r="GK8" s="18"/>
      <c r="GL8" s="18"/>
      <c r="GM8" s="19"/>
      <c r="GO8" s="20"/>
      <c r="GQ8" s="18"/>
      <c r="GR8" s="18"/>
      <c r="GS8" s="18"/>
      <c r="GT8" s="19"/>
      <c r="GV8" s="20"/>
      <c r="GX8" s="18"/>
      <c r="GY8" s="18"/>
      <c r="GZ8" s="18"/>
      <c r="HA8" s="19"/>
      <c r="HC8" s="20"/>
      <c r="HE8" s="18"/>
      <c r="HF8" s="18"/>
      <c r="HG8" s="18"/>
      <c r="HH8" s="19"/>
      <c r="HJ8" s="20"/>
      <c r="HL8" s="18"/>
      <c r="HM8" s="18"/>
      <c r="HN8" s="18"/>
      <c r="HO8" s="19"/>
      <c r="HQ8" s="20"/>
      <c r="HS8" s="18"/>
      <c r="HT8" s="18"/>
      <c r="HU8" s="18"/>
      <c r="HV8" s="19"/>
      <c r="HX8" s="20"/>
      <c r="HZ8" s="18"/>
      <c r="IA8" s="18"/>
      <c r="IB8" s="18"/>
      <c r="IC8" s="19"/>
      <c r="IE8" s="20"/>
      <c r="IG8" s="18"/>
      <c r="IH8" s="18"/>
      <c r="II8" s="18"/>
      <c r="IJ8" s="19"/>
      <c r="IL8" s="20"/>
      <c r="IN8" s="18"/>
      <c r="IO8" s="18"/>
      <c r="IP8" s="18"/>
      <c r="IQ8" s="19"/>
      <c r="IS8" s="20"/>
    </row>
    <row r="9" spans="1:253">
      <c r="A9" s="21">
        <v>1</v>
      </c>
      <c r="B9" s="22" t="s">
        <v>13</v>
      </c>
      <c r="C9" s="23" t="s">
        <v>14</v>
      </c>
      <c r="D9" s="22" t="s">
        <v>15</v>
      </c>
      <c r="E9" s="24">
        <v>1</v>
      </c>
      <c r="F9" s="24"/>
      <c r="G9" s="25" t="s">
        <v>16</v>
      </c>
      <c r="H9"/>
    </row>
    <row r="10" spans="1:253">
      <c r="A10" s="26">
        <v>2</v>
      </c>
      <c r="B10" s="27" t="s">
        <v>13</v>
      </c>
      <c r="C10" s="28" t="s">
        <v>17</v>
      </c>
      <c r="D10" s="27" t="s">
        <v>15</v>
      </c>
      <c r="E10" s="29">
        <v>2</v>
      </c>
      <c r="F10" s="101">
        <v>4.3</v>
      </c>
      <c r="G10" s="31">
        <f>F10*E10</f>
        <v>8.6</v>
      </c>
    </row>
    <row r="11" spans="1:253">
      <c r="A11" s="32"/>
      <c r="B11" s="33"/>
      <c r="C11" s="34"/>
      <c r="D11" s="35"/>
      <c r="E11" s="36" t="s">
        <v>18</v>
      </c>
      <c r="G11" s="37">
        <f>(F10)*2%</f>
        <v>8.5999999999999993E-2</v>
      </c>
    </row>
    <row r="12" spans="1:253">
      <c r="A12" s="26">
        <v>3</v>
      </c>
      <c r="B12" s="27" t="s">
        <v>13</v>
      </c>
      <c r="C12" s="28" t="s">
        <v>19</v>
      </c>
      <c r="D12" s="27" t="s">
        <v>15</v>
      </c>
      <c r="E12" s="29">
        <v>2</v>
      </c>
      <c r="F12" s="101">
        <v>1.2</v>
      </c>
      <c r="G12" s="31">
        <f>F12*E12</f>
        <v>2.4</v>
      </c>
    </row>
    <row r="13" spans="1:253">
      <c r="A13" s="32"/>
      <c r="B13" s="33"/>
      <c r="C13" s="34"/>
      <c r="D13" s="35"/>
      <c r="E13" s="36" t="s">
        <v>18</v>
      </c>
      <c r="G13" s="37">
        <f>(F12)*2%</f>
        <v>2.4E-2</v>
      </c>
    </row>
    <row r="14" spans="1:253" s="4" customFormat="1">
      <c r="A14" s="207" t="s">
        <v>20</v>
      </c>
      <c r="B14" s="208"/>
      <c r="C14" s="208"/>
      <c r="D14" s="208"/>
      <c r="E14" s="115"/>
      <c r="F14" s="115"/>
      <c r="G14" s="38">
        <f>SUM(G10:G11,G12:G13)</f>
        <v>11.11</v>
      </c>
      <c r="H14" s="3"/>
    </row>
    <row r="15" spans="1:253">
      <c r="A15" s="39"/>
      <c r="B15" s="16"/>
      <c r="C15" s="40" t="s">
        <v>21</v>
      </c>
      <c r="D15" s="16"/>
      <c r="E15" s="41"/>
      <c r="F15" s="3"/>
      <c r="G15" s="42"/>
    </row>
    <row r="16" spans="1:253">
      <c r="A16" s="26">
        <v>1</v>
      </c>
      <c r="B16" s="28"/>
      <c r="C16" s="28" t="s">
        <v>22</v>
      </c>
      <c r="D16" s="27" t="s">
        <v>23</v>
      </c>
      <c r="E16" s="43">
        <v>1.145</v>
      </c>
      <c r="F16" s="29"/>
      <c r="G16" s="44"/>
    </row>
    <row r="17" spans="1:8" s="4" customFormat="1">
      <c r="A17" s="45"/>
      <c r="B17" s="46"/>
      <c r="C17" s="46"/>
      <c r="D17" s="47" t="s">
        <v>24</v>
      </c>
      <c r="E17" s="48">
        <f>SUM(E15:E16)</f>
        <v>1.145</v>
      </c>
      <c r="F17" s="49">
        <v>66.91</v>
      </c>
      <c r="G17" s="78">
        <f>ROUND(E17*F17,2)</f>
        <v>76.61</v>
      </c>
    </row>
    <row r="18" spans="1:8">
      <c r="A18" s="51"/>
      <c r="B18" s="52"/>
      <c r="C18" s="52"/>
      <c r="D18" s="53" t="s">
        <v>25</v>
      </c>
      <c r="E18" s="54"/>
      <c r="F18" s="55"/>
      <c r="G18" s="56">
        <f>G17*42%</f>
        <v>32.176200000000001</v>
      </c>
    </row>
    <row r="19" spans="1:8" s="4" customFormat="1">
      <c r="A19" s="207" t="s">
        <v>26</v>
      </c>
      <c r="B19" s="208"/>
      <c r="C19" s="208"/>
      <c r="D19" s="208"/>
      <c r="E19" s="115"/>
      <c r="F19" s="115"/>
      <c r="G19" s="38">
        <f>G17+G18</f>
        <v>108.78620000000001</v>
      </c>
      <c r="H19"/>
    </row>
    <row r="20" spans="1:8" customFormat="1">
      <c r="A20" s="57"/>
      <c r="B20" s="58"/>
      <c r="C20" s="58"/>
      <c r="D20" s="59"/>
      <c r="E20" s="58"/>
      <c r="F20" s="60" t="s">
        <v>41</v>
      </c>
      <c r="G20" s="61">
        <f>ROUND(G14+G19,2)</f>
        <v>119.9</v>
      </c>
      <c r="H20" s="3"/>
    </row>
    <row r="21" spans="1:8" customFormat="1">
      <c r="A21" s="62"/>
      <c r="B21" s="63"/>
      <c r="C21" s="63"/>
      <c r="D21" s="64"/>
      <c r="E21" s="63"/>
      <c r="F21" s="65" t="s">
        <v>27</v>
      </c>
      <c r="G21" s="66">
        <f>ROUND(G19*22%,2)</f>
        <v>23.93</v>
      </c>
      <c r="H21" s="66" t="e">
        <f>(H18+#REF!)*38.52%</f>
        <v>#REF!</v>
      </c>
    </row>
    <row r="22" spans="1:8" customFormat="1">
      <c r="A22" s="62"/>
      <c r="B22" s="63"/>
      <c r="C22" s="63"/>
      <c r="D22" s="64"/>
      <c r="E22" s="63"/>
      <c r="F22" s="65" t="s">
        <v>156</v>
      </c>
      <c r="G22" s="66">
        <f>ROUND(G19*64.6%,2)</f>
        <v>70.28</v>
      </c>
      <c r="H22" s="66" t="e">
        <f>(H18+#REF!)*57.4%</f>
        <v>#REF!</v>
      </c>
    </row>
    <row r="23" spans="1:8" customFormat="1">
      <c r="A23" s="62"/>
      <c r="B23" s="63"/>
      <c r="C23" s="63"/>
      <c r="D23" s="64"/>
      <c r="E23" s="63"/>
      <c r="F23" s="65" t="s">
        <v>28</v>
      </c>
      <c r="G23" s="66">
        <f>ROUND(G20+G21+G22,2)</f>
        <v>214.11</v>
      </c>
      <c r="H23" s="66" t="e">
        <f>H20+H21+H22</f>
        <v>#REF!</v>
      </c>
    </row>
    <row r="24" spans="1:8" customFormat="1">
      <c r="A24" s="62"/>
      <c r="B24" s="63"/>
      <c r="C24" s="63"/>
      <c r="D24" s="63"/>
      <c r="E24" s="63"/>
      <c r="F24" s="65" t="s">
        <v>29</v>
      </c>
      <c r="G24" s="66">
        <f>G23*12%</f>
        <v>25.693200000000001</v>
      </c>
      <c r="H24" s="66" t="e">
        <f>H23*12%</f>
        <v>#REF!</v>
      </c>
    </row>
    <row r="25" spans="1:8" customFormat="1">
      <c r="A25" s="62"/>
      <c r="B25" s="63"/>
      <c r="C25" s="63"/>
      <c r="D25" s="64"/>
      <c r="E25" s="63"/>
      <c r="F25" s="67" t="s">
        <v>30</v>
      </c>
      <c r="G25" s="68">
        <f>ROUND(G23+G24,2)</f>
        <v>239.8</v>
      </c>
      <c r="H25" s="68" t="e">
        <f>H23+H24</f>
        <v>#REF!</v>
      </c>
    </row>
    <row r="26" spans="1:8" customFormat="1">
      <c r="A26" s="62"/>
      <c r="B26" s="63"/>
      <c r="C26" s="63"/>
      <c r="D26" s="64"/>
      <c r="E26" s="63"/>
      <c r="F26" s="65" t="s">
        <v>31</v>
      </c>
      <c r="G26" s="69">
        <f>ROUND(G25/5,2)</f>
        <v>47.96</v>
      </c>
      <c r="H26" s="69" t="e">
        <f>ROUND(H25/5,2)</f>
        <v>#REF!</v>
      </c>
    </row>
    <row r="27" spans="1:8">
      <c r="A27" s="70"/>
      <c r="B27" s="71"/>
      <c r="C27" s="71"/>
      <c r="D27" s="72"/>
      <c r="E27" s="71"/>
      <c r="F27" s="73" t="s">
        <v>32</v>
      </c>
      <c r="G27" s="74">
        <f>ROUND(G25+G26,2)</f>
        <v>287.76</v>
      </c>
      <c r="H27" s="74" t="e">
        <f>H25+H26</f>
        <v>#REF!</v>
      </c>
    </row>
    <row r="28" spans="1:8">
      <c r="B28" s="75"/>
      <c r="C28" s="75"/>
      <c r="H28"/>
    </row>
    <row r="29" spans="1:8">
      <c r="B29" s="215" t="s">
        <v>33</v>
      </c>
      <c r="C29" s="215"/>
      <c r="D29" s="215"/>
      <c r="E29" t="s">
        <v>34</v>
      </c>
      <c r="H29"/>
    </row>
    <row r="30" spans="1:8">
      <c r="C30" s="76"/>
    </row>
    <row r="31" spans="1:8">
      <c r="B31" s="216" t="s">
        <v>35</v>
      </c>
      <c r="C31" s="216"/>
      <c r="D31" s="77"/>
      <c r="E31" t="s">
        <v>42</v>
      </c>
    </row>
    <row r="33" spans="2:5">
      <c r="B33" t="s">
        <v>36</v>
      </c>
      <c r="E33" s="148" t="s">
        <v>99</v>
      </c>
    </row>
  </sheetData>
  <mergeCells count="6">
    <mergeCell ref="B29:D29"/>
    <mergeCell ref="B31:C31"/>
    <mergeCell ref="C1:F1"/>
    <mergeCell ref="C2:F2"/>
    <mergeCell ref="A14:D14"/>
    <mergeCell ref="A19:D19"/>
  </mergeCells>
  <pageMargins left="0.49" right="0" top="1.299212598425197" bottom="0.59055118110236227" header="0.23622047244094491" footer="0.23622047244094491"/>
  <pageSetup paperSize="9" orientation="portrait" verticalDpi="0" r:id="rId1"/>
  <headerFooter alignWithMargins="0">
    <oddHeader>&amp;L&amp;"Arial Cyr,полужирный"ЗАТВЕРДЖЕНО
Директор ММКП "РБУ"
______________ Діус В.В.
01.03.2021р.&amp;R&amp;"Arial Cyr,полужирный"ПОГОДЖЕНО
Начальник УМГ
______________Блінов А.Ю.
01.03.2021р.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S81"/>
  <sheetViews>
    <sheetView topLeftCell="A40" workbookViewId="0">
      <selection activeCell="M6" sqref="M6"/>
    </sheetView>
  </sheetViews>
  <sheetFormatPr defaultRowHeight="12.75"/>
  <cols>
    <col min="1" max="1" width="4.140625" customWidth="1"/>
    <col min="2" max="2" width="6" customWidth="1"/>
    <col min="3" max="3" width="2.42578125" style="1" customWidth="1"/>
    <col min="4" max="4" width="6.42578125" customWidth="1"/>
    <col min="5" max="5" width="34.7109375" customWidth="1"/>
    <col min="6" max="6" width="9" customWidth="1"/>
    <col min="7" max="7" width="10" customWidth="1"/>
    <col min="8" max="8" width="10.140625" customWidth="1"/>
    <col min="9" max="9" width="9.85546875" style="152" customWidth="1"/>
    <col min="10" max="16384" width="9.140625" style="3"/>
  </cols>
  <sheetData>
    <row r="1" spans="1:9" ht="63" customHeight="1">
      <c r="A1" s="1"/>
      <c r="B1" s="2"/>
      <c r="C1" s="2"/>
      <c r="D1" s="2"/>
      <c r="E1" s="205"/>
      <c r="F1" s="205"/>
      <c r="G1" s="205"/>
      <c r="H1" s="205"/>
    </row>
    <row r="2" spans="1:9" ht="63" customHeight="1">
      <c r="A2" s="1"/>
      <c r="B2" s="2"/>
      <c r="C2" s="2"/>
      <c r="D2" s="2"/>
      <c r="E2" s="149"/>
      <c r="F2" s="149"/>
      <c r="G2" s="149"/>
      <c r="H2" s="149"/>
    </row>
    <row r="3" spans="1:9" ht="63" customHeight="1">
      <c r="A3" s="1"/>
      <c r="B3" s="2"/>
      <c r="C3" s="2"/>
      <c r="D3" s="2"/>
      <c r="E3" s="149"/>
      <c r="F3" s="149"/>
      <c r="G3" s="149"/>
      <c r="H3" s="149"/>
    </row>
    <row r="4" spans="1:9" ht="83.25" customHeight="1">
      <c r="A4" s="1"/>
      <c r="B4" s="2"/>
      <c r="C4" s="2"/>
      <c r="D4" s="2"/>
      <c r="E4" s="149"/>
      <c r="F4" s="149"/>
      <c r="G4" s="149"/>
      <c r="H4" s="149"/>
    </row>
    <row r="5" spans="1:9" s="4" customFormat="1" ht="110.25" customHeight="1">
      <c r="B5" s="5"/>
      <c r="C5" s="150"/>
      <c r="D5" s="5"/>
      <c r="E5" s="206"/>
      <c r="F5" s="206"/>
      <c r="G5" s="206"/>
      <c r="H5" s="206"/>
      <c r="I5" s="5"/>
    </row>
    <row r="6" spans="1:9" s="4" customFormat="1" ht="72" customHeight="1">
      <c r="B6" s="5"/>
      <c r="C6" s="150"/>
      <c r="D6" s="5"/>
      <c r="E6" s="150"/>
      <c r="F6" s="150"/>
      <c r="G6" s="150"/>
      <c r="H6" s="150"/>
      <c r="I6" s="5"/>
    </row>
    <row r="7" spans="1:9" s="156" customFormat="1" ht="21.75" customHeight="1">
      <c r="A7" s="154"/>
      <c r="B7" s="211" t="s">
        <v>103</v>
      </c>
      <c r="C7" s="212"/>
      <c r="D7" s="213"/>
      <c r="E7" s="214" t="s">
        <v>104</v>
      </c>
      <c r="F7" s="214"/>
      <c r="G7" s="214"/>
      <c r="H7" s="214"/>
      <c r="I7" s="155" t="s">
        <v>105</v>
      </c>
    </row>
    <row r="8" spans="1:9" s="8" customFormat="1" ht="26.25" customHeight="1">
      <c r="A8" s="6"/>
      <c r="B8" s="157">
        <v>0.33333333333333331</v>
      </c>
      <c r="C8" s="158" t="s">
        <v>16</v>
      </c>
      <c r="D8" s="159">
        <f t="shared" ref="D8:D66" si="0">B8+I8</f>
        <v>0.33680555555555552</v>
      </c>
      <c r="E8" s="209" t="s">
        <v>133</v>
      </c>
      <c r="F8" s="209"/>
      <c r="G8" s="209"/>
      <c r="H8" s="209"/>
      <c r="I8" s="160">
        <v>3.472222222222222E-3</v>
      </c>
    </row>
    <row r="9" spans="1:9" s="8" customFormat="1" ht="24.75" customHeight="1">
      <c r="A9" s="6"/>
      <c r="B9" s="157">
        <f>D8</f>
        <v>0.33680555555555552</v>
      </c>
      <c r="C9" s="158" t="s">
        <v>16</v>
      </c>
      <c r="D9" s="159">
        <f t="shared" si="0"/>
        <v>0.35763888888888884</v>
      </c>
      <c r="E9" s="209" t="s">
        <v>120</v>
      </c>
      <c r="F9" s="209"/>
      <c r="G9" s="209"/>
      <c r="H9" s="209"/>
      <c r="I9" s="160">
        <v>2.0833333333333332E-2</v>
      </c>
    </row>
    <row r="10" spans="1:9" s="8" customFormat="1" ht="12">
      <c r="A10" s="6"/>
      <c r="B10" s="157">
        <f t="shared" ref="B10:B66" si="1">D9</f>
        <v>0.35763888888888884</v>
      </c>
      <c r="C10" s="158" t="s">
        <v>16</v>
      </c>
      <c r="D10" s="159">
        <f t="shared" si="0"/>
        <v>0.35902777777777772</v>
      </c>
      <c r="E10" s="209" t="s">
        <v>121</v>
      </c>
      <c r="F10" s="209"/>
      <c r="G10" s="209"/>
      <c r="H10" s="209"/>
      <c r="I10" s="160">
        <v>1.3888888888888889E-3</v>
      </c>
    </row>
    <row r="11" spans="1:9" s="8" customFormat="1" ht="12">
      <c r="A11" s="6">
        <v>1</v>
      </c>
      <c r="B11" s="157">
        <f t="shared" si="1"/>
        <v>0.35902777777777772</v>
      </c>
      <c r="C11" s="158"/>
      <c r="D11" s="159">
        <f t="shared" si="0"/>
        <v>0.37291666666666662</v>
      </c>
      <c r="E11" s="209" t="s">
        <v>142</v>
      </c>
      <c r="F11" s="209"/>
      <c r="G11" s="209"/>
      <c r="H11" s="209"/>
      <c r="I11" s="160">
        <v>1.3888888888888888E-2</v>
      </c>
    </row>
    <row r="12" spans="1:9" s="8" customFormat="1" ht="12" customHeight="1">
      <c r="A12" s="6"/>
      <c r="B12" s="157">
        <f t="shared" si="1"/>
        <v>0.37291666666666662</v>
      </c>
      <c r="C12" s="158"/>
      <c r="D12" s="159">
        <f t="shared" si="0"/>
        <v>0.37499999999999994</v>
      </c>
      <c r="E12" s="209" t="s">
        <v>135</v>
      </c>
      <c r="F12" s="209"/>
      <c r="G12" s="209"/>
      <c r="H12" s="209"/>
      <c r="I12" s="160">
        <v>2.0833333333333333E-3</v>
      </c>
    </row>
    <row r="13" spans="1:9" s="8" customFormat="1" ht="12">
      <c r="A13" s="6"/>
      <c r="B13" s="157">
        <f t="shared" si="1"/>
        <v>0.37499999999999994</v>
      </c>
      <c r="C13" s="158"/>
      <c r="D13" s="159">
        <f t="shared" si="0"/>
        <v>0.37847222222222215</v>
      </c>
      <c r="E13" s="209" t="s">
        <v>136</v>
      </c>
      <c r="F13" s="209"/>
      <c r="G13" s="209"/>
      <c r="H13" s="209"/>
      <c r="I13" s="160">
        <v>3.472222222222222E-3</v>
      </c>
    </row>
    <row r="14" spans="1:9" s="8" customFormat="1" ht="12">
      <c r="A14" s="6"/>
      <c r="B14" s="157">
        <f t="shared" si="1"/>
        <v>0.37847222222222215</v>
      </c>
      <c r="C14" s="158" t="s">
        <v>16</v>
      </c>
      <c r="D14" s="159">
        <f t="shared" si="0"/>
        <v>0.37986111111111104</v>
      </c>
      <c r="E14" s="209" t="s">
        <v>121</v>
      </c>
      <c r="F14" s="209"/>
      <c r="G14" s="209"/>
      <c r="H14" s="209"/>
      <c r="I14" s="160">
        <v>1.3888888888888889E-3</v>
      </c>
    </row>
    <row r="15" spans="1:9" s="8" customFormat="1" ht="12">
      <c r="A15" s="6">
        <v>2</v>
      </c>
      <c r="B15" s="157">
        <f t="shared" si="1"/>
        <v>0.37986111111111104</v>
      </c>
      <c r="C15" s="158"/>
      <c r="D15" s="159">
        <f t="shared" si="0"/>
        <v>0.39374999999999993</v>
      </c>
      <c r="E15" s="209" t="s">
        <v>142</v>
      </c>
      <c r="F15" s="209"/>
      <c r="G15" s="209"/>
      <c r="H15" s="209"/>
      <c r="I15" s="160">
        <v>1.3888888888888888E-2</v>
      </c>
    </row>
    <row r="16" spans="1:9" s="8" customFormat="1" ht="12" customHeight="1">
      <c r="A16" s="6"/>
      <c r="B16" s="157">
        <f t="shared" si="1"/>
        <v>0.39374999999999993</v>
      </c>
      <c r="C16" s="158"/>
      <c r="D16" s="159">
        <f t="shared" si="0"/>
        <v>0.39583333333333326</v>
      </c>
      <c r="E16" s="209" t="s">
        <v>135</v>
      </c>
      <c r="F16" s="209"/>
      <c r="G16" s="209"/>
      <c r="H16" s="209"/>
      <c r="I16" s="160">
        <v>2.0833333333333333E-3</v>
      </c>
    </row>
    <row r="17" spans="1:9" s="8" customFormat="1" ht="12">
      <c r="A17" s="6"/>
      <c r="B17" s="157">
        <f t="shared" si="1"/>
        <v>0.39583333333333326</v>
      </c>
      <c r="C17" s="158"/>
      <c r="D17" s="159">
        <f t="shared" si="0"/>
        <v>0.39930555555555547</v>
      </c>
      <c r="E17" s="209" t="s">
        <v>136</v>
      </c>
      <c r="F17" s="209"/>
      <c r="G17" s="209"/>
      <c r="H17" s="209"/>
      <c r="I17" s="160">
        <v>3.472222222222222E-3</v>
      </c>
    </row>
    <row r="18" spans="1:9" s="8" customFormat="1" ht="12">
      <c r="A18" s="6"/>
      <c r="B18" s="157">
        <f t="shared" si="1"/>
        <v>0.39930555555555547</v>
      </c>
      <c r="C18" s="158" t="s">
        <v>16</v>
      </c>
      <c r="D18" s="159">
        <f t="shared" si="0"/>
        <v>0.40069444444444435</v>
      </c>
      <c r="E18" s="209" t="s">
        <v>121</v>
      </c>
      <c r="F18" s="209"/>
      <c r="G18" s="209"/>
      <c r="H18" s="209"/>
      <c r="I18" s="160">
        <v>1.3888888888888889E-3</v>
      </c>
    </row>
    <row r="19" spans="1:9" s="8" customFormat="1" ht="12">
      <c r="A19" s="6">
        <v>3</v>
      </c>
      <c r="B19" s="157">
        <f t="shared" si="1"/>
        <v>0.40069444444444435</v>
      </c>
      <c r="C19" s="158"/>
      <c r="D19" s="159">
        <f t="shared" si="0"/>
        <v>0.41458333333333325</v>
      </c>
      <c r="E19" s="209" t="s">
        <v>142</v>
      </c>
      <c r="F19" s="209"/>
      <c r="G19" s="209"/>
      <c r="H19" s="209"/>
      <c r="I19" s="160">
        <v>1.3888888888888888E-2</v>
      </c>
    </row>
    <row r="20" spans="1:9" s="8" customFormat="1" ht="12" customHeight="1">
      <c r="A20" s="6"/>
      <c r="B20" s="157">
        <f t="shared" si="1"/>
        <v>0.41458333333333325</v>
      </c>
      <c r="C20" s="158"/>
      <c r="D20" s="159">
        <f t="shared" si="0"/>
        <v>0.41666666666666657</v>
      </c>
      <c r="E20" s="209" t="s">
        <v>135</v>
      </c>
      <c r="F20" s="209"/>
      <c r="G20" s="209"/>
      <c r="H20" s="209"/>
      <c r="I20" s="160">
        <v>2.0833333333333333E-3</v>
      </c>
    </row>
    <row r="21" spans="1:9" s="8" customFormat="1" ht="12">
      <c r="A21" s="6"/>
      <c r="B21" s="157">
        <f t="shared" si="1"/>
        <v>0.41666666666666657</v>
      </c>
      <c r="C21" s="158"/>
      <c r="D21" s="159">
        <f t="shared" si="0"/>
        <v>0.42013888888888878</v>
      </c>
      <c r="E21" s="209" t="s">
        <v>136</v>
      </c>
      <c r="F21" s="209"/>
      <c r="G21" s="209"/>
      <c r="H21" s="209"/>
      <c r="I21" s="160">
        <v>3.472222222222222E-3</v>
      </c>
    </row>
    <row r="22" spans="1:9" s="8" customFormat="1" ht="12">
      <c r="A22" s="6"/>
      <c r="B22" s="157">
        <f t="shared" si="1"/>
        <v>0.42013888888888878</v>
      </c>
      <c r="C22" s="158" t="s">
        <v>16</v>
      </c>
      <c r="D22" s="159">
        <f t="shared" si="0"/>
        <v>0.42152777777777767</v>
      </c>
      <c r="E22" s="209" t="s">
        <v>121</v>
      </c>
      <c r="F22" s="209"/>
      <c r="G22" s="209"/>
      <c r="H22" s="209"/>
      <c r="I22" s="160">
        <v>1.3888888888888889E-3</v>
      </c>
    </row>
    <row r="23" spans="1:9" s="8" customFormat="1" ht="12">
      <c r="A23" s="6">
        <v>4</v>
      </c>
      <c r="B23" s="157">
        <f t="shared" si="1"/>
        <v>0.42152777777777767</v>
      </c>
      <c r="C23" s="158"/>
      <c r="D23" s="159">
        <f t="shared" si="0"/>
        <v>0.43541666666666656</v>
      </c>
      <c r="E23" s="209" t="s">
        <v>142</v>
      </c>
      <c r="F23" s="209"/>
      <c r="G23" s="209"/>
      <c r="H23" s="209"/>
      <c r="I23" s="160">
        <v>1.3888888888888888E-2</v>
      </c>
    </row>
    <row r="24" spans="1:9" s="8" customFormat="1" ht="12" customHeight="1">
      <c r="A24" s="6"/>
      <c r="B24" s="157">
        <f t="shared" si="1"/>
        <v>0.43541666666666656</v>
      </c>
      <c r="C24" s="158"/>
      <c r="D24" s="159">
        <f t="shared" si="0"/>
        <v>0.43749999999999989</v>
      </c>
      <c r="E24" s="209" t="s">
        <v>135</v>
      </c>
      <c r="F24" s="209"/>
      <c r="G24" s="209"/>
      <c r="H24" s="209"/>
      <c r="I24" s="160">
        <v>2.0833333333333333E-3</v>
      </c>
    </row>
    <row r="25" spans="1:9" s="8" customFormat="1" ht="12">
      <c r="A25" s="6"/>
      <c r="B25" s="157">
        <f t="shared" si="1"/>
        <v>0.43749999999999989</v>
      </c>
      <c r="C25" s="158"/>
      <c r="D25" s="159">
        <f t="shared" si="0"/>
        <v>0.4409722222222221</v>
      </c>
      <c r="E25" s="209" t="s">
        <v>136</v>
      </c>
      <c r="F25" s="209"/>
      <c r="G25" s="209"/>
      <c r="H25" s="209"/>
      <c r="I25" s="160">
        <v>3.472222222222222E-3</v>
      </c>
    </row>
    <row r="26" spans="1:9" s="8" customFormat="1" ht="12">
      <c r="A26" s="6"/>
      <c r="B26" s="157">
        <f t="shared" si="1"/>
        <v>0.4409722222222221</v>
      </c>
      <c r="C26" s="158" t="s">
        <v>16</v>
      </c>
      <c r="D26" s="159">
        <f t="shared" si="0"/>
        <v>0.44236111111111098</v>
      </c>
      <c r="E26" s="209" t="s">
        <v>121</v>
      </c>
      <c r="F26" s="209"/>
      <c r="G26" s="209"/>
      <c r="H26" s="209"/>
      <c r="I26" s="160">
        <v>1.3888888888888889E-3</v>
      </c>
    </row>
    <row r="27" spans="1:9" s="8" customFormat="1" ht="12">
      <c r="A27" s="6">
        <v>5</v>
      </c>
      <c r="B27" s="157">
        <f t="shared" si="1"/>
        <v>0.44236111111111098</v>
      </c>
      <c r="C27" s="158"/>
      <c r="D27" s="159">
        <f t="shared" si="0"/>
        <v>0.45624999999999988</v>
      </c>
      <c r="E27" s="209" t="s">
        <v>142</v>
      </c>
      <c r="F27" s="209"/>
      <c r="G27" s="209"/>
      <c r="H27" s="209"/>
      <c r="I27" s="160">
        <v>1.3888888888888888E-2</v>
      </c>
    </row>
    <row r="28" spans="1:9" s="8" customFormat="1" ht="12" customHeight="1">
      <c r="A28" s="6"/>
      <c r="B28" s="157">
        <f t="shared" si="1"/>
        <v>0.45624999999999988</v>
      </c>
      <c r="C28" s="158"/>
      <c r="D28" s="159">
        <f t="shared" si="0"/>
        <v>0.4583333333333332</v>
      </c>
      <c r="E28" s="209" t="s">
        <v>135</v>
      </c>
      <c r="F28" s="209"/>
      <c r="G28" s="209"/>
      <c r="H28" s="209"/>
      <c r="I28" s="160">
        <v>2.0833333333333333E-3</v>
      </c>
    </row>
    <row r="29" spans="1:9" s="8" customFormat="1" ht="12">
      <c r="A29" s="6"/>
      <c r="B29" s="157">
        <f t="shared" si="1"/>
        <v>0.4583333333333332</v>
      </c>
      <c r="C29" s="158"/>
      <c r="D29" s="159">
        <f t="shared" si="0"/>
        <v>0.46180555555555541</v>
      </c>
      <c r="E29" s="209" t="s">
        <v>136</v>
      </c>
      <c r="F29" s="209"/>
      <c r="G29" s="209"/>
      <c r="H29" s="209"/>
      <c r="I29" s="160">
        <v>3.472222222222222E-3</v>
      </c>
    </row>
    <row r="30" spans="1:9" s="8" customFormat="1" ht="12" customHeight="1">
      <c r="A30" s="6"/>
      <c r="B30" s="157">
        <f t="shared" si="1"/>
        <v>0.46180555555555541</v>
      </c>
      <c r="C30" s="158" t="s">
        <v>16</v>
      </c>
      <c r="D30" s="159">
        <f t="shared" si="0"/>
        <v>0.5034722222222221</v>
      </c>
      <c r="E30" s="209" t="s">
        <v>107</v>
      </c>
      <c r="F30" s="209"/>
      <c r="G30" s="209"/>
      <c r="H30" s="209"/>
      <c r="I30" s="160">
        <v>4.1666666666666664E-2</v>
      </c>
    </row>
    <row r="31" spans="1:9" s="8" customFormat="1" ht="12">
      <c r="A31" s="6"/>
      <c r="B31" s="157">
        <f t="shared" si="1"/>
        <v>0.5034722222222221</v>
      </c>
      <c r="C31" s="158" t="s">
        <v>16</v>
      </c>
      <c r="D31" s="159">
        <f t="shared" si="0"/>
        <v>0.50486111111111098</v>
      </c>
      <c r="E31" s="209" t="s">
        <v>121</v>
      </c>
      <c r="F31" s="209"/>
      <c r="G31" s="209"/>
      <c r="H31" s="209"/>
      <c r="I31" s="160">
        <v>1.3888888888888889E-3</v>
      </c>
    </row>
    <row r="32" spans="1:9" s="8" customFormat="1" ht="12">
      <c r="A32" s="6">
        <v>6</v>
      </c>
      <c r="B32" s="157">
        <f t="shared" si="1"/>
        <v>0.50486111111111098</v>
      </c>
      <c r="C32" s="158"/>
      <c r="D32" s="159">
        <f t="shared" si="0"/>
        <v>0.51874999999999982</v>
      </c>
      <c r="E32" s="209" t="s">
        <v>142</v>
      </c>
      <c r="F32" s="209"/>
      <c r="G32" s="209"/>
      <c r="H32" s="209"/>
      <c r="I32" s="160">
        <v>1.3888888888888888E-2</v>
      </c>
    </row>
    <row r="33" spans="1:9" s="8" customFormat="1" ht="12" customHeight="1">
      <c r="A33" s="6"/>
      <c r="B33" s="157">
        <f t="shared" si="1"/>
        <v>0.51874999999999982</v>
      </c>
      <c r="C33" s="158"/>
      <c r="D33" s="159">
        <f t="shared" si="0"/>
        <v>0.52083333333333315</v>
      </c>
      <c r="E33" s="209" t="s">
        <v>135</v>
      </c>
      <c r="F33" s="209"/>
      <c r="G33" s="209"/>
      <c r="H33" s="209"/>
      <c r="I33" s="160">
        <v>2.0833333333333333E-3</v>
      </c>
    </row>
    <row r="34" spans="1:9" s="8" customFormat="1" ht="12">
      <c r="A34" s="6"/>
      <c r="B34" s="157">
        <f t="shared" si="1"/>
        <v>0.52083333333333315</v>
      </c>
      <c r="C34" s="158"/>
      <c r="D34" s="159">
        <f t="shared" si="0"/>
        <v>0.52430555555555536</v>
      </c>
      <c r="E34" s="209" t="s">
        <v>136</v>
      </c>
      <c r="F34" s="209"/>
      <c r="G34" s="209"/>
      <c r="H34" s="209"/>
      <c r="I34" s="160">
        <v>3.472222222222222E-3</v>
      </c>
    </row>
    <row r="35" spans="1:9" s="8" customFormat="1" ht="12">
      <c r="A35" s="6"/>
      <c r="B35" s="157">
        <f t="shared" si="1"/>
        <v>0.52430555555555536</v>
      </c>
      <c r="C35" s="158" t="s">
        <v>16</v>
      </c>
      <c r="D35" s="159">
        <f t="shared" si="0"/>
        <v>0.52569444444444424</v>
      </c>
      <c r="E35" s="209" t="s">
        <v>121</v>
      </c>
      <c r="F35" s="209"/>
      <c r="G35" s="209"/>
      <c r="H35" s="209"/>
      <c r="I35" s="160">
        <v>1.3888888888888889E-3</v>
      </c>
    </row>
    <row r="36" spans="1:9" s="8" customFormat="1" ht="12">
      <c r="A36" s="6">
        <v>7</v>
      </c>
      <c r="B36" s="157">
        <f t="shared" si="1"/>
        <v>0.52569444444444424</v>
      </c>
      <c r="C36" s="158"/>
      <c r="D36" s="159">
        <f t="shared" si="0"/>
        <v>0.53958333333333308</v>
      </c>
      <c r="E36" s="209" t="s">
        <v>142</v>
      </c>
      <c r="F36" s="209"/>
      <c r="G36" s="209"/>
      <c r="H36" s="209"/>
      <c r="I36" s="160">
        <v>1.3888888888888888E-2</v>
      </c>
    </row>
    <row r="37" spans="1:9" s="8" customFormat="1" ht="12" customHeight="1">
      <c r="A37" s="6"/>
      <c r="B37" s="157">
        <f t="shared" si="1"/>
        <v>0.53958333333333308</v>
      </c>
      <c r="C37" s="158"/>
      <c r="D37" s="159">
        <f t="shared" si="0"/>
        <v>0.54166666666666641</v>
      </c>
      <c r="E37" s="209" t="s">
        <v>135</v>
      </c>
      <c r="F37" s="209"/>
      <c r="G37" s="209"/>
      <c r="H37" s="209"/>
      <c r="I37" s="160">
        <v>2.0833333333333333E-3</v>
      </c>
    </row>
    <row r="38" spans="1:9" s="8" customFormat="1" ht="12">
      <c r="A38" s="6"/>
      <c r="B38" s="157">
        <f t="shared" si="1"/>
        <v>0.54166666666666641</v>
      </c>
      <c r="C38" s="158"/>
      <c r="D38" s="159">
        <f t="shared" si="0"/>
        <v>0.54513888888888862</v>
      </c>
      <c r="E38" s="209" t="s">
        <v>136</v>
      </c>
      <c r="F38" s="209"/>
      <c r="G38" s="209"/>
      <c r="H38" s="209"/>
      <c r="I38" s="160">
        <v>3.472222222222222E-3</v>
      </c>
    </row>
    <row r="39" spans="1:9" s="8" customFormat="1" ht="12">
      <c r="A39" s="6"/>
      <c r="B39" s="157">
        <f t="shared" si="1"/>
        <v>0.54513888888888862</v>
      </c>
      <c r="C39" s="158" t="s">
        <v>16</v>
      </c>
      <c r="D39" s="159">
        <f t="shared" si="0"/>
        <v>0.5465277777777775</v>
      </c>
      <c r="E39" s="209" t="s">
        <v>121</v>
      </c>
      <c r="F39" s="209"/>
      <c r="G39" s="209"/>
      <c r="H39" s="209"/>
      <c r="I39" s="160">
        <v>1.3888888888888889E-3</v>
      </c>
    </row>
    <row r="40" spans="1:9" s="8" customFormat="1" ht="12">
      <c r="A40" s="6">
        <v>8</v>
      </c>
      <c r="B40" s="157">
        <f t="shared" si="1"/>
        <v>0.5465277777777775</v>
      </c>
      <c r="C40" s="158"/>
      <c r="D40" s="159">
        <f t="shared" si="0"/>
        <v>0.56041666666666634</v>
      </c>
      <c r="E40" s="209" t="s">
        <v>142</v>
      </c>
      <c r="F40" s="209"/>
      <c r="G40" s="209"/>
      <c r="H40" s="209"/>
      <c r="I40" s="160">
        <v>1.3888888888888888E-2</v>
      </c>
    </row>
    <row r="41" spans="1:9" s="8" customFormat="1" ht="12" customHeight="1">
      <c r="A41" s="6"/>
      <c r="B41" s="157">
        <f t="shared" si="1"/>
        <v>0.56041666666666634</v>
      </c>
      <c r="C41" s="158"/>
      <c r="D41" s="159">
        <f t="shared" si="0"/>
        <v>0.56249999999999967</v>
      </c>
      <c r="E41" s="209" t="s">
        <v>135</v>
      </c>
      <c r="F41" s="209"/>
      <c r="G41" s="209"/>
      <c r="H41" s="209"/>
      <c r="I41" s="160">
        <v>2.0833333333333333E-3</v>
      </c>
    </row>
    <row r="42" spans="1:9" s="8" customFormat="1" ht="12">
      <c r="A42" s="6"/>
      <c r="B42" s="157">
        <f t="shared" si="1"/>
        <v>0.56249999999999967</v>
      </c>
      <c r="C42" s="158"/>
      <c r="D42" s="159">
        <f t="shared" si="0"/>
        <v>0.56597222222222188</v>
      </c>
      <c r="E42" s="209" t="s">
        <v>136</v>
      </c>
      <c r="F42" s="209"/>
      <c r="G42" s="209"/>
      <c r="H42" s="209"/>
      <c r="I42" s="160">
        <v>3.472222222222222E-3</v>
      </c>
    </row>
    <row r="43" spans="1:9" s="8" customFormat="1" ht="12">
      <c r="A43" s="6"/>
      <c r="B43" s="157">
        <f t="shared" si="1"/>
        <v>0.56597222222222188</v>
      </c>
      <c r="C43" s="158" t="s">
        <v>16</v>
      </c>
      <c r="D43" s="159">
        <f t="shared" si="0"/>
        <v>0.56736111111111076</v>
      </c>
      <c r="E43" s="209" t="s">
        <v>121</v>
      </c>
      <c r="F43" s="209"/>
      <c r="G43" s="209"/>
      <c r="H43" s="209"/>
      <c r="I43" s="160">
        <v>1.3888888888888889E-3</v>
      </c>
    </row>
    <row r="44" spans="1:9" s="8" customFormat="1" ht="12">
      <c r="A44" s="6">
        <v>9</v>
      </c>
      <c r="B44" s="157">
        <f t="shared" si="1"/>
        <v>0.56736111111111076</v>
      </c>
      <c r="C44" s="158"/>
      <c r="D44" s="159">
        <f t="shared" si="0"/>
        <v>0.5812499999999996</v>
      </c>
      <c r="E44" s="209" t="s">
        <v>142</v>
      </c>
      <c r="F44" s="209"/>
      <c r="G44" s="209"/>
      <c r="H44" s="209"/>
      <c r="I44" s="160">
        <v>1.3888888888888888E-2</v>
      </c>
    </row>
    <row r="45" spans="1:9" s="8" customFormat="1" ht="12" customHeight="1">
      <c r="A45" s="6"/>
      <c r="B45" s="157">
        <f t="shared" si="1"/>
        <v>0.5812499999999996</v>
      </c>
      <c r="C45" s="158"/>
      <c r="D45" s="159">
        <f t="shared" si="0"/>
        <v>0.58333333333333293</v>
      </c>
      <c r="E45" s="209" t="s">
        <v>135</v>
      </c>
      <c r="F45" s="209"/>
      <c r="G45" s="209"/>
      <c r="H45" s="209"/>
      <c r="I45" s="160">
        <v>2.0833333333333333E-3</v>
      </c>
    </row>
    <row r="46" spans="1:9" s="8" customFormat="1" ht="12">
      <c r="A46" s="6"/>
      <c r="B46" s="157">
        <f t="shared" si="1"/>
        <v>0.58333333333333293</v>
      </c>
      <c r="C46" s="158"/>
      <c r="D46" s="159">
        <f t="shared" si="0"/>
        <v>0.58680555555555514</v>
      </c>
      <c r="E46" s="209" t="s">
        <v>136</v>
      </c>
      <c r="F46" s="209"/>
      <c r="G46" s="209"/>
      <c r="H46" s="209"/>
      <c r="I46" s="160">
        <v>3.472222222222222E-3</v>
      </c>
    </row>
    <row r="47" spans="1:9" s="8" customFormat="1" ht="12">
      <c r="A47" s="6"/>
      <c r="B47" s="157">
        <f t="shared" si="1"/>
        <v>0.58680555555555514</v>
      </c>
      <c r="C47" s="158" t="s">
        <v>16</v>
      </c>
      <c r="D47" s="159">
        <f t="shared" si="0"/>
        <v>0.58819444444444402</v>
      </c>
      <c r="E47" s="209" t="s">
        <v>121</v>
      </c>
      <c r="F47" s="209"/>
      <c r="G47" s="209"/>
      <c r="H47" s="209"/>
      <c r="I47" s="160">
        <v>1.3888888888888889E-3</v>
      </c>
    </row>
    <row r="48" spans="1:9" s="8" customFormat="1" ht="12">
      <c r="A48" s="6">
        <v>10</v>
      </c>
      <c r="B48" s="157">
        <f t="shared" si="1"/>
        <v>0.58819444444444402</v>
      </c>
      <c r="C48" s="158"/>
      <c r="D48" s="159">
        <f t="shared" si="0"/>
        <v>0.60208333333333286</v>
      </c>
      <c r="E48" s="209" t="s">
        <v>142</v>
      </c>
      <c r="F48" s="209"/>
      <c r="G48" s="209"/>
      <c r="H48" s="209"/>
      <c r="I48" s="160">
        <v>1.3888888888888888E-2</v>
      </c>
    </row>
    <row r="49" spans="1:9" s="8" customFormat="1" ht="12" customHeight="1">
      <c r="A49" s="6"/>
      <c r="B49" s="157">
        <f t="shared" si="1"/>
        <v>0.60208333333333286</v>
      </c>
      <c r="C49" s="158"/>
      <c r="D49" s="159">
        <f t="shared" si="0"/>
        <v>0.60416666666666619</v>
      </c>
      <c r="E49" s="209" t="s">
        <v>135</v>
      </c>
      <c r="F49" s="209"/>
      <c r="G49" s="209"/>
      <c r="H49" s="209"/>
      <c r="I49" s="160">
        <v>2.0833333333333333E-3</v>
      </c>
    </row>
    <row r="50" spans="1:9" s="8" customFormat="1" ht="12">
      <c r="A50" s="6"/>
      <c r="B50" s="157">
        <f t="shared" si="1"/>
        <v>0.60416666666666619</v>
      </c>
      <c r="C50" s="158"/>
      <c r="D50" s="159">
        <f t="shared" si="0"/>
        <v>0.6076388888888884</v>
      </c>
      <c r="E50" s="209" t="s">
        <v>136</v>
      </c>
      <c r="F50" s="209"/>
      <c r="G50" s="209"/>
      <c r="H50" s="209"/>
      <c r="I50" s="160">
        <v>3.472222222222222E-3</v>
      </c>
    </row>
    <row r="51" spans="1:9" s="8" customFormat="1" ht="12">
      <c r="A51" s="6"/>
      <c r="B51" s="157">
        <f t="shared" si="1"/>
        <v>0.6076388888888884</v>
      </c>
      <c r="C51" s="158" t="s">
        <v>16</v>
      </c>
      <c r="D51" s="159">
        <f t="shared" si="0"/>
        <v>0.60902777777777728</v>
      </c>
      <c r="E51" s="209" t="s">
        <v>121</v>
      </c>
      <c r="F51" s="209"/>
      <c r="G51" s="209"/>
      <c r="H51" s="209"/>
      <c r="I51" s="160">
        <v>1.3888888888888889E-3</v>
      </c>
    </row>
    <row r="52" spans="1:9" s="8" customFormat="1" ht="12">
      <c r="A52" s="6">
        <v>11</v>
      </c>
      <c r="B52" s="157">
        <f t="shared" si="1"/>
        <v>0.60902777777777728</v>
      </c>
      <c r="C52" s="158"/>
      <c r="D52" s="159">
        <f t="shared" si="0"/>
        <v>0.62291666666666612</v>
      </c>
      <c r="E52" s="209" t="s">
        <v>142</v>
      </c>
      <c r="F52" s="209"/>
      <c r="G52" s="209"/>
      <c r="H52" s="209"/>
      <c r="I52" s="160">
        <v>1.3888888888888888E-2</v>
      </c>
    </row>
    <row r="53" spans="1:9" s="8" customFormat="1" ht="12" customHeight="1">
      <c r="A53" s="6"/>
      <c r="B53" s="157">
        <f t="shared" si="1"/>
        <v>0.62291666666666612</v>
      </c>
      <c r="C53" s="158"/>
      <c r="D53" s="159">
        <f t="shared" si="0"/>
        <v>0.62499999999999944</v>
      </c>
      <c r="E53" s="209" t="s">
        <v>135</v>
      </c>
      <c r="F53" s="209"/>
      <c r="G53" s="209"/>
      <c r="H53" s="209"/>
      <c r="I53" s="160">
        <v>2.0833333333333333E-3</v>
      </c>
    </row>
    <row r="54" spans="1:9" s="8" customFormat="1" ht="12">
      <c r="A54" s="6"/>
      <c r="B54" s="157">
        <f t="shared" si="1"/>
        <v>0.62499999999999944</v>
      </c>
      <c r="C54" s="158"/>
      <c r="D54" s="159">
        <f t="shared" si="0"/>
        <v>0.62847222222222165</v>
      </c>
      <c r="E54" s="209" t="s">
        <v>136</v>
      </c>
      <c r="F54" s="209"/>
      <c r="G54" s="209"/>
      <c r="H54" s="209"/>
      <c r="I54" s="160">
        <v>3.472222222222222E-3</v>
      </c>
    </row>
    <row r="55" spans="1:9" s="8" customFormat="1" ht="12">
      <c r="A55" s="6"/>
      <c r="B55" s="157">
        <f t="shared" si="1"/>
        <v>0.62847222222222165</v>
      </c>
      <c r="C55" s="158" t="s">
        <v>16</v>
      </c>
      <c r="D55" s="159">
        <f t="shared" si="0"/>
        <v>0.62986111111111054</v>
      </c>
      <c r="E55" s="209" t="s">
        <v>121</v>
      </c>
      <c r="F55" s="209"/>
      <c r="G55" s="209"/>
      <c r="H55" s="209"/>
      <c r="I55" s="160">
        <v>1.3888888888888889E-3</v>
      </c>
    </row>
    <row r="56" spans="1:9" s="8" customFormat="1" ht="12">
      <c r="A56" s="6">
        <v>12</v>
      </c>
      <c r="B56" s="157">
        <f t="shared" si="1"/>
        <v>0.62986111111111054</v>
      </c>
      <c r="C56" s="158"/>
      <c r="D56" s="159">
        <f t="shared" si="0"/>
        <v>0.64374999999999938</v>
      </c>
      <c r="E56" s="209" t="s">
        <v>142</v>
      </c>
      <c r="F56" s="209"/>
      <c r="G56" s="209"/>
      <c r="H56" s="209"/>
      <c r="I56" s="160">
        <v>1.3888888888888888E-2</v>
      </c>
    </row>
    <row r="57" spans="1:9" s="8" customFormat="1" ht="12" customHeight="1">
      <c r="A57" s="6"/>
      <c r="B57" s="157">
        <f t="shared" si="1"/>
        <v>0.64374999999999938</v>
      </c>
      <c r="C57" s="158"/>
      <c r="D57" s="159">
        <f t="shared" si="0"/>
        <v>0.6458333333333327</v>
      </c>
      <c r="E57" s="209" t="s">
        <v>135</v>
      </c>
      <c r="F57" s="209"/>
      <c r="G57" s="209"/>
      <c r="H57" s="209"/>
      <c r="I57" s="160">
        <v>2.0833333333333333E-3</v>
      </c>
    </row>
    <row r="58" spans="1:9" s="8" customFormat="1" ht="12">
      <c r="A58" s="6"/>
      <c r="B58" s="157">
        <f t="shared" si="1"/>
        <v>0.6458333333333327</v>
      </c>
      <c r="C58" s="158"/>
      <c r="D58" s="159">
        <f t="shared" si="0"/>
        <v>0.64930555555555491</v>
      </c>
      <c r="E58" s="209" t="s">
        <v>136</v>
      </c>
      <c r="F58" s="209"/>
      <c r="G58" s="209"/>
      <c r="H58" s="209"/>
      <c r="I58" s="160">
        <v>3.472222222222222E-3</v>
      </c>
    </row>
    <row r="59" spans="1:9" s="8" customFormat="1" ht="12">
      <c r="A59" s="6"/>
      <c r="B59" s="157">
        <f t="shared" si="1"/>
        <v>0.64930555555555491</v>
      </c>
      <c r="C59" s="158" t="s">
        <v>16</v>
      </c>
      <c r="D59" s="159">
        <f t="shared" si="0"/>
        <v>0.6506944444444438</v>
      </c>
      <c r="E59" s="209" t="s">
        <v>121</v>
      </c>
      <c r="F59" s="209"/>
      <c r="G59" s="209"/>
      <c r="H59" s="209"/>
      <c r="I59" s="160">
        <v>1.3888888888888889E-3</v>
      </c>
    </row>
    <row r="60" spans="1:9" s="8" customFormat="1" ht="12">
      <c r="A60" s="6">
        <v>13</v>
      </c>
      <c r="B60" s="157">
        <f t="shared" si="1"/>
        <v>0.6506944444444438</v>
      </c>
      <c r="C60" s="158"/>
      <c r="D60" s="159">
        <f t="shared" si="0"/>
        <v>0.66458333333333264</v>
      </c>
      <c r="E60" s="209" t="s">
        <v>142</v>
      </c>
      <c r="F60" s="209"/>
      <c r="G60" s="209"/>
      <c r="H60" s="209"/>
      <c r="I60" s="160">
        <v>1.3888888888888888E-2</v>
      </c>
    </row>
    <row r="61" spans="1:9" s="8" customFormat="1" ht="12" customHeight="1">
      <c r="A61" s="6"/>
      <c r="B61" s="157">
        <f t="shared" si="1"/>
        <v>0.66458333333333264</v>
      </c>
      <c r="C61" s="158"/>
      <c r="D61" s="159">
        <f t="shared" si="0"/>
        <v>0.66666666666666596</v>
      </c>
      <c r="E61" s="209" t="s">
        <v>135</v>
      </c>
      <c r="F61" s="209"/>
      <c r="G61" s="209"/>
      <c r="H61" s="209"/>
      <c r="I61" s="160">
        <v>2.0833333333333333E-3</v>
      </c>
    </row>
    <row r="62" spans="1:9" s="8" customFormat="1" ht="12">
      <c r="A62" s="6"/>
      <c r="B62" s="157">
        <f t="shared" si="1"/>
        <v>0.66666666666666596</v>
      </c>
      <c r="C62" s="158"/>
      <c r="D62" s="159">
        <f t="shared" si="0"/>
        <v>0.67013888888888817</v>
      </c>
      <c r="E62" s="209" t="s">
        <v>136</v>
      </c>
      <c r="F62" s="209"/>
      <c r="G62" s="209"/>
      <c r="H62" s="209"/>
      <c r="I62" s="160">
        <v>3.472222222222222E-3</v>
      </c>
    </row>
    <row r="63" spans="1:9" s="8" customFormat="1" ht="12">
      <c r="A63" s="6"/>
      <c r="B63" s="157">
        <f t="shared" si="1"/>
        <v>0.67013888888888817</v>
      </c>
      <c r="C63" s="158" t="s">
        <v>16</v>
      </c>
      <c r="D63" s="159">
        <f t="shared" si="0"/>
        <v>0.67152777777777706</v>
      </c>
      <c r="E63" s="209" t="s">
        <v>121</v>
      </c>
      <c r="F63" s="209"/>
      <c r="G63" s="209"/>
      <c r="H63" s="209"/>
      <c r="I63" s="160">
        <v>1.3888888888888889E-3</v>
      </c>
    </row>
    <row r="64" spans="1:9" s="8" customFormat="1" ht="12">
      <c r="A64" s="6">
        <v>14</v>
      </c>
      <c r="B64" s="157">
        <f t="shared" si="1"/>
        <v>0.67152777777777706</v>
      </c>
      <c r="C64" s="158"/>
      <c r="D64" s="159">
        <f t="shared" si="0"/>
        <v>0.6854166666666659</v>
      </c>
      <c r="E64" s="209" t="s">
        <v>142</v>
      </c>
      <c r="F64" s="209"/>
      <c r="G64" s="209"/>
      <c r="H64" s="209"/>
      <c r="I64" s="160">
        <v>1.3888888888888888E-2</v>
      </c>
    </row>
    <row r="65" spans="1:253" s="8" customFormat="1" ht="12" customHeight="1">
      <c r="A65" s="6"/>
      <c r="B65" s="157">
        <f t="shared" si="1"/>
        <v>0.6854166666666659</v>
      </c>
      <c r="C65" s="158"/>
      <c r="D65" s="159">
        <f t="shared" si="0"/>
        <v>0.68749999999999922</v>
      </c>
      <c r="E65" s="209" t="s">
        <v>135</v>
      </c>
      <c r="F65" s="209"/>
      <c r="G65" s="209"/>
      <c r="H65" s="209"/>
      <c r="I65" s="160">
        <v>2.0833333333333333E-3</v>
      </c>
    </row>
    <row r="66" spans="1:253" s="8" customFormat="1" ht="12">
      <c r="A66" s="6"/>
      <c r="B66" s="157">
        <f t="shared" si="1"/>
        <v>0.68749999999999922</v>
      </c>
      <c r="C66" s="158" t="s">
        <v>16</v>
      </c>
      <c r="D66" s="159">
        <f t="shared" si="0"/>
        <v>0.70833333333333259</v>
      </c>
      <c r="E66" s="221" t="s">
        <v>130</v>
      </c>
      <c r="F66" s="221"/>
      <c r="G66" s="221"/>
      <c r="H66" s="221"/>
      <c r="I66" s="160">
        <v>2.0833333333333332E-2</v>
      </c>
    </row>
    <row r="67" spans="1:253" s="8" customFormat="1" ht="12">
      <c r="A67" s="6"/>
      <c r="B67" s="157"/>
      <c r="C67" s="158"/>
      <c r="D67" s="159"/>
      <c r="E67" s="221" t="s">
        <v>147</v>
      </c>
      <c r="F67" s="221"/>
      <c r="G67" s="221"/>
      <c r="H67" s="221"/>
      <c r="I67" s="160"/>
    </row>
    <row r="68" spans="1:253" s="8" customFormat="1" ht="50.25" customHeight="1">
      <c r="A68" s="6"/>
      <c r="B68" s="161"/>
      <c r="C68" s="162"/>
      <c r="D68" s="161"/>
      <c r="E68" s="163"/>
      <c r="F68" s="163"/>
      <c r="G68" s="163"/>
      <c r="H68" s="163"/>
      <c r="I68" s="164"/>
    </row>
    <row r="69" spans="1:253" ht="25.5">
      <c r="A69" s="165"/>
      <c r="B69" s="165"/>
      <c r="C69" s="165"/>
      <c r="D69" s="165"/>
      <c r="E69" s="166" t="s">
        <v>6</v>
      </c>
      <c r="F69" s="166" t="s">
        <v>7</v>
      </c>
      <c r="G69" s="166" t="s">
        <v>8</v>
      </c>
      <c r="H69" s="167"/>
      <c r="I69" s="165"/>
    </row>
    <row r="70" spans="1:253">
      <c r="A70" s="3"/>
      <c r="B70" s="168"/>
      <c r="C70" s="168"/>
      <c r="D70" s="168"/>
      <c r="E70" s="169" t="s">
        <v>110</v>
      </c>
      <c r="F70" s="170"/>
      <c r="G70" s="171"/>
      <c r="H70" s="18"/>
      <c r="I70" s="172"/>
      <c r="J70" s="18"/>
      <c r="K70" s="18"/>
      <c r="L70" s="18"/>
      <c r="M70" s="19"/>
      <c r="O70" s="20"/>
      <c r="Q70" s="18"/>
      <c r="R70" s="18"/>
      <c r="S70" s="18"/>
      <c r="T70" s="19"/>
      <c r="V70" s="20"/>
      <c r="X70" s="18"/>
      <c r="Y70" s="18"/>
      <c r="Z70" s="18"/>
      <c r="AA70" s="19"/>
      <c r="AC70" s="20"/>
      <c r="AE70" s="18"/>
      <c r="AF70" s="18"/>
      <c r="AG70" s="18"/>
      <c r="AH70" s="19"/>
      <c r="AJ70" s="20"/>
      <c r="AL70" s="18"/>
      <c r="AM70" s="18"/>
      <c r="AN70" s="18"/>
      <c r="AO70" s="19"/>
      <c r="AQ70" s="20"/>
      <c r="AS70" s="18"/>
      <c r="AT70" s="18"/>
      <c r="AU70" s="18"/>
      <c r="AV70" s="19"/>
      <c r="AX70" s="20"/>
      <c r="AZ70" s="18"/>
      <c r="BA70" s="18"/>
      <c r="BB70" s="18"/>
      <c r="BC70" s="19"/>
      <c r="BE70" s="20"/>
      <c r="BG70" s="18"/>
      <c r="BH70" s="18"/>
      <c r="BI70" s="18"/>
      <c r="BJ70" s="19"/>
      <c r="BL70" s="20"/>
      <c r="BN70" s="18"/>
      <c r="BO70" s="18"/>
      <c r="BP70" s="18"/>
      <c r="BQ70" s="19"/>
      <c r="BS70" s="20"/>
      <c r="BU70" s="18"/>
      <c r="BV70" s="18"/>
      <c r="BW70" s="18"/>
      <c r="BX70" s="19"/>
      <c r="BZ70" s="20"/>
      <c r="CB70" s="18"/>
      <c r="CC70" s="18"/>
      <c r="CD70" s="18"/>
      <c r="CE70" s="19"/>
      <c r="CG70" s="20"/>
      <c r="CI70" s="18"/>
      <c r="CJ70" s="18"/>
      <c r="CK70" s="18"/>
      <c r="CL70" s="19"/>
      <c r="CN70" s="20"/>
      <c r="CP70" s="18"/>
      <c r="CQ70" s="18"/>
      <c r="CR70" s="18"/>
      <c r="CS70" s="19"/>
      <c r="CU70" s="20"/>
      <c r="CW70" s="18"/>
      <c r="CX70" s="18"/>
      <c r="CY70" s="18"/>
      <c r="CZ70" s="19"/>
      <c r="DB70" s="20"/>
      <c r="DD70" s="18"/>
      <c r="DE70" s="18"/>
      <c r="DF70" s="18"/>
      <c r="DG70" s="19"/>
      <c r="DI70" s="20"/>
      <c r="DK70" s="18"/>
      <c r="DL70" s="18"/>
      <c r="DM70" s="18"/>
      <c r="DN70" s="19"/>
      <c r="DP70" s="20"/>
      <c r="DR70" s="18"/>
      <c r="DS70" s="18"/>
      <c r="DT70" s="18"/>
      <c r="DU70" s="19"/>
      <c r="DW70" s="20"/>
      <c r="DY70" s="18"/>
      <c r="DZ70" s="18"/>
      <c r="EA70" s="18"/>
      <c r="EB70" s="19"/>
      <c r="ED70" s="20"/>
      <c r="EF70" s="18"/>
      <c r="EG70" s="18"/>
      <c r="EH70" s="18"/>
      <c r="EI70" s="19"/>
      <c r="EK70" s="20"/>
      <c r="EM70" s="18"/>
      <c r="EN70" s="18"/>
      <c r="EO70" s="18"/>
      <c r="EP70" s="19"/>
      <c r="ER70" s="20"/>
      <c r="ET70" s="18"/>
      <c r="EU70" s="18"/>
      <c r="EV70" s="18"/>
      <c r="EW70" s="19"/>
      <c r="EY70" s="20"/>
      <c r="FA70" s="18"/>
      <c r="FB70" s="18"/>
      <c r="FC70" s="18"/>
      <c r="FD70" s="19"/>
      <c r="FF70" s="20"/>
      <c r="FH70" s="18"/>
      <c r="FI70" s="18"/>
      <c r="FJ70" s="18"/>
      <c r="FK70" s="19"/>
      <c r="FM70" s="20"/>
      <c r="FO70" s="18"/>
      <c r="FP70" s="18"/>
      <c r="FQ70" s="18"/>
      <c r="FR70" s="19"/>
      <c r="FT70" s="20"/>
      <c r="FV70" s="18"/>
      <c r="FW70" s="18"/>
      <c r="FX70" s="18"/>
      <c r="FY70" s="19"/>
      <c r="GA70" s="20"/>
      <c r="GC70" s="18"/>
      <c r="GD70" s="18"/>
      <c r="GE70" s="18"/>
      <c r="GF70" s="19"/>
      <c r="GH70" s="20"/>
      <c r="GJ70" s="18"/>
      <c r="GK70" s="18"/>
      <c r="GL70" s="18"/>
      <c r="GM70" s="19"/>
      <c r="GO70" s="20"/>
      <c r="GQ70" s="18"/>
      <c r="GR70" s="18"/>
      <c r="GS70" s="18"/>
      <c r="GT70" s="19"/>
      <c r="GV70" s="20"/>
      <c r="GX70" s="18"/>
      <c r="GY70" s="18"/>
      <c r="GZ70" s="18"/>
      <c r="HA70" s="19"/>
      <c r="HC70" s="20"/>
      <c r="HE70" s="18"/>
      <c r="HF70" s="18"/>
      <c r="HG70" s="18"/>
      <c r="HH70" s="19"/>
      <c r="HJ70" s="20"/>
      <c r="HL70" s="18"/>
      <c r="HM70" s="18"/>
      <c r="HN70" s="18"/>
      <c r="HO70" s="19"/>
      <c r="HQ70" s="20"/>
      <c r="HS70" s="18"/>
      <c r="HT70" s="18"/>
      <c r="HU70" s="18"/>
      <c r="HV70" s="19"/>
      <c r="HX70" s="20"/>
      <c r="HZ70" s="18"/>
      <c r="IA70" s="18"/>
      <c r="IB70" s="18"/>
      <c r="IC70" s="19"/>
      <c r="IE70" s="20"/>
      <c r="IG70" s="18"/>
      <c r="IH70" s="18"/>
      <c r="II70" s="18"/>
      <c r="IJ70" s="19"/>
      <c r="IL70" s="20"/>
      <c r="IN70" s="18"/>
      <c r="IO70" s="18"/>
      <c r="IP70" s="18"/>
      <c r="IQ70" s="19"/>
      <c r="IS70" s="20"/>
    </row>
    <row r="71" spans="1:253">
      <c r="A71" s="172"/>
      <c r="B71" s="172"/>
      <c r="C71" s="172"/>
      <c r="D71" s="172"/>
      <c r="E71" s="182" t="s">
        <v>14</v>
      </c>
      <c r="F71" s="64" t="s">
        <v>15</v>
      </c>
      <c r="G71" s="183">
        <v>1</v>
      </c>
      <c r="H71" s="173"/>
      <c r="I71" s="174"/>
    </row>
    <row r="72" spans="1:253">
      <c r="A72" s="172"/>
      <c r="B72" s="172"/>
      <c r="C72" s="172"/>
      <c r="D72" s="172"/>
      <c r="E72" s="182" t="s">
        <v>17</v>
      </c>
      <c r="F72" s="64" t="s">
        <v>15</v>
      </c>
      <c r="G72" s="183">
        <v>2</v>
      </c>
      <c r="H72" s="173"/>
      <c r="I72" s="174"/>
    </row>
    <row r="73" spans="1:253">
      <c r="A73" s="172"/>
      <c r="B73" s="172"/>
      <c r="C73" s="172"/>
      <c r="D73" s="172"/>
      <c r="E73" s="182" t="s">
        <v>19</v>
      </c>
      <c r="F73" s="64" t="s">
        <v>15</v>
      </c>
      <c r="G73" s="183">
        <v>2</v>
      </c>
      <c r="H73" s="173"/>
      <c r="I73" s="174"/>
    </row>
    <row r="74" spans="1:253">
      <c r="A74" s="172"/>
      <c r="B74" s="172"/>
      <c r="C74" s="172"/>
      <c r="D74" s="172"/>
      <c r="E74" s="169" t="s">
        <v>111</v>
      </c>
      <c r="F74" s="170"/>
      <c r="G74" s="171"/>
      <c r="H74" s="173"/>
      <c r="I74" s="174"/>
    </row>
    <row r="75" spans="1:253">
      <c r="A75" s="172"/>
      <c r="B75" s="172"/>
      <c r="C75" s="172"/>
      <c r="D75" s="172"/>
      <c r="E75" s="182" t="s">
        <v>22</v>
      </c>
      <c r="F75" s="64" t="s">
        <v>23</v>
      </c>
      <c r="G75" s="192">
        <v>1.145</v>
      </c>
      <c r="H75" s="173"/>
      <c r="I75" s="174"/>
    </row>
    <row r="77" spans="1:253">
      <c r="D77" s="181" t="s">
        <v>112</v>
      </c>
    </row>
    <row r="78" spans="1:253" ht="29.25" customHeight="1">
      <c r="B78" s="76"/>
      <c r="D78" s="76"/>
      <c r="E78" s="76" t="s">
        <v>113</v>
      </c>
      <c r="F78" t="s">
        <v>115</v>
      </c>
    </row>
    <row r="79" spans="1:253" customFormat="1" ht="31.5" customHeight="1">
      <c r="C79" s="1"/>
      <c r="E79" s="76" t="s">
        <v>113</v>
      </c>
      <c r="F79" t="s">
        <v>116</v>
      </c>
      <c r="I79" s="15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customFormat="1" ht="33.75" customHeight="1">
      <c r="C80" s="1"/>
      <c r="E80" s="76" t="s">
        <v>113</v>
      </c>
      <c r="F80" t="s">
        <v>42</v>
      </c>
      <c r="I80" s="15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3:253" customFormat="1">
      <c r="C81" s="1"/>
      <c r="E81" s="76"/>
      <c r="I81" s="15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</sheetData>
  <mergeCells count="64">
    <mergeCell ref="E9:H9"/>
    <mergeCell ref="E1:H1"/>
    <mergeCell ref="E5:H5"/>
    <mergeCell ref="B7:D7"/>
    <mergeCell ref="E7:H7"/>
    <mergeCell ref="E8:H8"/>
    <mergeCell ref="E21:H21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33:H33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45:H45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57:H57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64:H64"/>
    <mergeCell ref="E65:H65"/>
    <mergeCell ref="E66:H66"/>
    <mergeCell ref="E67:H67"/>
    <mergeCell ref="E58:H58"/>
    <mergeCell ref="E59:H59"/>
    <mergeCell ref="E60:H60"/>
    <mergeCell ref="E61:H61"/>
    <mergeCell ref="E62:H62"/>
    <mergeCell ref="E63:H63"/>
  </mergeCells>
  <pageMargins left="0.65" right="0.43" top="0.32291666666666669" bottom="0.37" header="0.24" footer="0.24"/>
  <pageSetup paperSize="9" orientation="portrait" verticalDpi="0" r:id="rId1"/>
  <headerFooter alignWithMargins="0"/>
  <legacyDrawing r:id="rId2"/>
  <oleObjects>
    <oleObject progId="Word.Document.12" shapeId="7169" r:id="rId3"/>
    <oleObject progId="Word.Document.12" shapeId="7170" r:id="rId4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view="pageLayout" zoomScaleNormal="100" workbookViewId="0">
      <selection activeCell="G25" sqref="G25"/>
    </sheetView>
  </sheetViews>
  <sheetFormatPr defaultRowHeight="12.75" outlineLevelCol="1"/>
  <cols>
    <col min="1" max="1" width="4.140625" customWidth="1"/>
    <col min="2" max="2" width="11.7109375" customWidth="1"/>
    <col min="3" max="3" width="36.28515625" bestFit="1" customWidth="1"/>
    <col min="4" max="4" width="9.42578125" customWidth="1"/>
    <col min="5" max="5" width="10" customWidth="1"/>
    <col min="6" max="6" width="10.140625" customWidth="1"/>
    <col min="7" max="7" width="9.85546875" customWidth="1"/>
    <col min="8" max="8" width="9.140625" style="3" customWidth="1" outlineLevel="1"/>
    <col min="9" max="16384" width="9.140625" style="3"/>
  </cols>
  <sheetData>
    <row r="1" spans="1:8" ht="15.75">
      <c r="A1" s="1"/>
      <c r="B1" s="2"/>
      <c r="C1" s="205" t="s">
        <v>37</v>
      </c>
      <c r="D1" s="205"/>
      <c r="E1" s="205"/>
      <c r="F1" s="205"/>
      <c r="G1" s="1"/>
    </row>
    <row r="2" spans="1:8" s="4" customFormat="1">
      <c r="B2" s="5"/>
      <c r="C2" s="206" t="s">
        <v>38</v>
      </c>
      <c r="D2" s="206"/>
      <c r="E2" s="206"/>
      <c r="F2" s="206"/>
      <c r="G2" s="5"/>
    </row>
    <row r="3" spans="1:8" s="4" customFormat="1">
      <c r="A3" s="114"/>
      <c r="B3" s="114"/>
      <c r="C3" s="114"/>
      <c r="D3" s="114"/>
      <c r="E3" s="114"/>
      <c r="F3" s="114"/>
      <c r="G3" s="114"/>
    </row>
    <row r="4" spans="1:8" s="8" customFormat="1" ht="12">
      <c r="A4" s="6"/>
      <c r="B4" s="7" t="s">
        <v>2</v>
      </c>
      <c r="D4" s="6"/>
      <c r="E4" s="7" t="s">
        <v>3</v>
      </c>
      <c r="F4" s="6"/>
      <c r="G4" s="6"/>
    </row>
    <row r="5" spans="1:8">
      <c r="E5" s="7"/>
    </row>
    <row r="6" spans="1:8" ht="38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10"/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8" ht="22.5" customHeight="1">
      <c r="A8" s="39"/>
      <c r="B8" s="16"/>
      <c r="C8" s="40" t="s">
        <v>39</v>
      </c>
      <c r="D8" s="16"/>
      <c r="E8" s="41"/>
      <c r="G8" s="41"/>
      <c r="H8"/>
    </row>
    <row r="9" spans="1:8">
      <c r="A9" s="26">
        <v>1</v>
      </c>
      <c r="B9" s="28"/>
      <c r="C9" s="28" t="s">
        <v>40</v>
      </c>
      <c r="D9" s="27" t="s">
        <v>23</v>
      </c>
      <c r="E9" s="43">
        <v>0.91600000000000004</v>
      </c>
      <c r="F9" s="29"/>
      <c r="G9" s="44"/>
    </row>
    <row r="10" spans="1:8" s="4" customFormat="1">
      <c r="A10" s="45"/>
      <c r="B10" s="46"/>
      <c r="C10" s="46"/>
      <c r="D10" s="47" t="s">
        <v>24</v>
      </c>
      <c r="E10" s="48">
        <f>SUM(E8:E9)</f>
        <v>0.91600000000000004</v>
      </c>
      <c r="F10" s="49">
        <v>66.91</v>
      </c>
      <c r="G10" s="78">
        <f>ROUND(E10*F10,2)</f>
        <v>61.29</v>
      </c>
    </row>
    <row r="11" spans="1:8">
      <c r="A11" s="51"/>
      <c r="B11" s="52"/>
      <c r="C11" s="52"/>
      <c r="D11" s="53" t="s">
        <v>25</v>
      </c>
      <c r="E11" s="54"/>
      <c r="F11" s="55"/>
      <c r="G11" s="56">
        <f>ROUND(G10*42%,2)</f>
        <v>25.74</v>
      </c>
    </row>
    <row r="12" spans="1:8" s="4" customFormat="1">
      <c r="A12" s="207" t="s">
        <v>20</v>
      </c>
      <c r="B12" s="208"/>
      <c r="C12" s="208"/>
      <c r="D12" s="208"/>
      <c r="E12" s="115"/>
      <c r="F12" s="115"/>
      <c r="G12" s="38">
        <f>ROUND(G10+G11,2)</f>
        <v>87.03</v>
      </c>
      <c r="H12"/>
    </row>
    <row r="13" spans="1:8" customFormat="1">
      <c r="A13" s="57"/>
      <c r="B13" s="58"/>
      <c r="C13" s="58"/>
      <c r="D13" s="59"/>
      <c r="E13" s="58"/>
      <c r="F13" s="60" t="s">
        <v>66</v>
      </c>
      <c r="G13" s="61">
        <f>G12</f>
        <v>87.03</v>
      </c>
      <c r="H13" s="3"/>
    </row>
    <row r="14" spans="1:8" customFormat="1">
      <c r="A14" s="62"/>
      <c r="B14" s="63"/>
      <c r="C14" s="63"/>
      <c r="D14" s="64"/>
      <c r="E14" s="63"/>
      <c r="F14" s="65" t="s">
        <v>27</v>
      </c>
      <c r="G14" s="66">
        <f>ROUND((G12*22%),2)</f>
        <v>19.149999999999999</v>
      </c>
      <c r="H14" s="3"/>
    </row>
    <row r="15" spans="1:8" customFormat="1">
      <c r="A15" s="62"/>
      <c r="B15" s="63"/>
      <c r="C15" s="63"/>
      <c r="D15" s="64"/>
      <c r="E15" s="63"/>
      <c r="F15" s="65" t="s">
        <v>156</v>
      </c>
      <c r="G15" s="66">
        <f>ROUND((G12)*64.6%,2)</f>
        <v>56.22</v>
      </c>
      <c r="H15" s="3"/>
    </row>
    <row r="16" spans="1:8" customFormat="1">
      <c r="A16" s="62"/>
      <c r="B16" s="63"/>
      <c r="C16" s="63"/>
      <c r="D16" s="64"/>
      <c r="E16" s="63"/>
      <c r="F16" s="65" t="s">
        <v>28</v>
      </c>
      <c r="G16" s="66">
        <f>ROUND(G13+G14+G15,2)</f>
        <v>162.4</v>
      </c>
      <c r="H16" s="3"/>
    </row>
    <row r="17" spans="1:8" customFormat="1">
      <c r="A17" s="62"/>
      <c r="B17" s="63"/>
      <c r="C17" s="63"/>
      <c r="D17" s="63"/>
      <c r="E17" s="63"/>
      <c r="F17" s="65" t="s">
        <v>29</v>
      </c>
      <c r="G17" s="66">
        <f>ROUND(G16*12%,2)</f>
        <v>19.489999999999998</v>
      </c>
      <c r="H17" s="3"/>
    </row>
    <row r="18" spans="1:8" customFormat="1">
      <c r="A18" s="62"/>
      <c r="B18" s="63"/>
      <c r="C18" s="63"/>
      <c r="D18" s="64"/>
      <c r="E18" s="63"/>
      <c r="F18" s="67" t="s">
        <v>30</v>
      </c>
      <c r="G18" s="68">
        <f>ROUND(G16+G17,2)</f>
        <v>181.89</v>
      </c>
      <c r="H18" s="3"/>
    </row>
    <row r="19" spans="1:8" customFormat="1">
      <c r="A19" s="62"/>
      <c r="B19" s="63"/>
      <c r="C19" s="63"/>
      <c r="D19" s="64"/>
      <c r="E19" s="63"/>
      <c r="F19" s="65" t="s">
        <v>31</v>
      </c>
      <c r="G19" s="69">
        <f>ROUND(G18/5,2)</f>
        <v>36.380000000000003</v>
      </c>
      <c r="H19" s="3"/>
    </row>
    <row r="20" spans="1:8">
      <c r="A20" s="70"/>
      <c r="B20" s="71"/>
      <c r="C20" s="71"/>
      <c r="D20" s="72"/>
      <c r="E20" s="71"/>
      <c r="F20" s="73" t="s">
        <v>32</v>
      </c>
      <c r="G20" s="74">
        <f>ROUND(G18+G19,2)</f>
        <v>218.27</v>
      </c>
    </row>
    <row r="23" spans="1:8">
      <c r="B23" s="215" t="s">
        <v>33</v>
      </c>
      <c r="C23" s="215"/>
      <c r="D23" s="215"/>
      <c r="E23" t="s">
        <v>34</v>
      </c>
    </row>
    <row r="24" spans="1:8">
      <c r="C24" s="76"/>
    </row>
    <row r="25" spans="1:8">
      <c r="B25" s="216" t="s">
        <v>35</v>
      </c>
      <c r="C25" s="216"/>
      <c r="D25" s="77"/>
      <c r="E25" t="s">
        <v>42</v>
      </c>
    </row>
    <row r="27" spans="1:8">
      <c r="B27" t="s">
        <v>36</v>
      </c>
      <c r="E27" s="148" t="s">
        <v>99</v>
      </c>
    </row>
  </sheetData>
  <mergeCells count="5">
    <mergeCell ref="B25:C25"/>
    <mergeCell ref="C1:F1"/>
    <mergeCell ref="C2:F2"/>
    <mergeCell ref="A12:D12"/>
    <mergeCell ref="B23:D23"/>
  </mergeCells>
  <pageMargins left="0.65" right="0.25" top="1.2916666666666667" bottom="0.59" header="0.24" footer="0.24"/>
  <pageSetup paperSize="9" orientation="portrait" verticalDpi="0" r:id="rId1"/>
  <headerFooter alignWithMargins="0">
    <oddHeader>&amp;L&amp;"Arial Cyr,полужирный"ЗАТВЕРДЖЕНО
Директор ММКП "РБУ"
______________ Діус В.В.
01.03.2021р.&amp;R&amp;"Arial Cyr,полужирный"ПОГОДЖЕНО
Начальник УМГ
______________ Блінов А.Ю.
01.03.2021р.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S16"/>
  <sheetViews>
    <sheetView workbookViewId="0">
      <selection activeCell="P15" sqref="P15"/>
    </sheetView>
  </sheetViews>
  <sheetFormatPr defaultRowHeight="12.75"/>
  <cols>
    <col min="1" max="1" width="4.140625" customWidth="1"/>
    <col min="2" max="2" width="6" customWidth="1"/>
    <col min="3" max="3" width="2.42578125" style="1" customWidth="1"/>
    <col min="4" max="4" width="6.42578125" customWidth="1"/>
    <col min="5" max="5" width="34.7109375" customWidth="1"/>
    <col min="6" max="6" width="9" customWidth="1"/>
    <col min="7" max="7" width="10" customWidth="1"/>
    <col min="8" max="8" width="10.140625" customWidth="1"/>
    <col min="9" max="9" width="9.85546875" style="152" customWidth="1"/>
    <col min="10" max="16384" width="9.140625" style="3"/>
  </cols>
  <sheetData>
    <row r="1" spans="1:253" ht="63" customHeight="1">
      <c r="A1" s="1"/>
      <c r="B1" s="2"/>
      <c r="C1" s="2"/>
      <c r="D1" s="2"/>
      <c r="E1" s="205"/>
      <c r="F1" s="205"/>
      <c r="G1" s="205"/>
      <c r="H1" s="205"/>
    </row>
    <row r="2" spans="1:253" ht="63" customHeight="1">
      <c r="A2" s="1"/>
      <c r="B2" s="2"/>
      <c r="C2" s="2"/>
      <c r="D2" s="2"/>
      <c r="E2" s="149"/>
      <c r="F2" s="149"/>
      <c r="G2" s="149"/>
      <c r="H2" s="149"/>
    </row>
    <row r="3" spans="1:253" ht="63" customHeight="1">
      <c r="A3" s="1"/>
      <c r="B3" s="2"/>
      <c r="C3" s="2"/>
      <c r="D3" s="2"/>
      <c r="E3" s="149"/>
      <c r="F3" s="149"/>
      <c r="G3" s="149"/>
      <c r="H3" s="149"/>
    </row>
    <row r="4" spans="1:253" ht="83.25" customHeight="1">
      <c r="A4" s="1"/>
      <c r="B4" s="2"/>
      <c r="C4" s="2"/>
      <c r="D4" s="2"/>
      <c r="E4" s="149"/>
      <c r="F4" s="149"/>
      <c r="G4" s="149"/>
      <c r="H4" s="149"/>
    </row>
    <row r="5" spans="1:253" s="4" customFormat="1" ht="120" customHeight="1">
      <c r="B5" s="5"/>
      <c r="C5" s="150"/>
      <c r="D5" s="5"/>
      <c r="E5" s="206"/>
      <c r="F5" s="206"/>
      <c r="G5" s="206"/>
      <c r="H5" s="206"/>
      <c r="I5" s="5"/>
    </row>
    <row r="6" spans="1:253" s="4" customFormat="1" ht="30" customHeight="1">
      <c r="B6" s="5"/>
      <c r="C6" s="150"/>
      <c r="D6" s="5"/>
      <c r="E6" s="150"/>
      <c r="F6" s="150"/>
      <c r="G6" s="150"/>
      <c r="H6" s="150"/>
      <c r="I6" s="5"/>
    </row>
    <row r="7" spans="1:253" ht="31.5" customHeight="1">
      <c r="A7" s="165"/>
      <c r="B7" s="165"/>
      <c r="C7" s="165"/>
      <c r="D7" s="165"/>
      <c r="E7" s="166" t="s">
        <v>6</v>
      </c>
      <c r="F7" s="166" t="s">
        <v>7</v>
      </c>
      <c r="G7" s="166" t="s">
        <v>8</v>
      </c>
      <c r="H7" s="167"/>
      <c r="I7" s="165"/>
    </row>
    <row r="8" spans="1:253" ht="21.75" customHeight="1">
      <c r="A8" s="172"/>
      <c r="B8" s="172"/>
      <c r="C8" s="172"/>
      <c r="D8" s="172"/>
      <c r="E8" s="169" t="s">
        <v>140</v>
      </c>
      <c r="F8" s="170"/>
      <c r="G8" s="171"/>
      <c r="H8" s="173"/>
      <c r="I8" s="174"/>
    </row>
    <row r="9" spans="1:253" ht="25.5" customHeight="1">
      <c r="A9" s="172"/>
      <c r="B9" s="172"/>
      <c r="C9" s="172"/>
      <c r="D9" s="172"/>
      <c r="E9" s="182" t="s">
        <v>40</v>
      </c>
      <c r="F9" s="64" t="s">
        <v>23</v>
      </c>
      <c r="G9" s="193">
        <v>0.91600000000000004</v>
      </c>
      <c r="H9" s="173"/>
      <c r="I9" s="174"/>
    </row>
    <row r="12" spans="1:253">
      <c r="D12" s="181" t="s">
        <v>112</v>
      </c>
    </row>
    <row r="13" spans="1:253" ht="33.75" customHeight="1">
      <c r="B13" s="76"/>
      <c r="D13" s="76"/>
      <c r="E13" s="76" t="s">
        <v>113</v>
      </c>
      <c r="F13" t="s">
        <v>115</v>
      </c>
    </row>
    <row r="14" spans="1:253" ht="29.25" customHeight="1">
      <c r="E14" s="76" t="s">
        <v>113</v>
      </c>
      <c r="F14" t="s">
        <v>116</v>
      </c>
    </row>
    <row r="15" spans="1:253" ht="30" customHeight="1">
      <c r="E15" s="76" t="s">
        <v>113</v>
      </c>
      <c r="F15" t="s">
        <v>42</v>
      </c>
    </row>
    <row r="16" spans="1:253" customFormat="1">
      <c r="C16" s="1"/>
      <c r="E16" s="76"/>
      <c r="I16" s="15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</sheetData>
  <mergeCells count="2">
    <mergeCell ref="E1:H1"/>
    <mergeCell ref="E5:H5"/>
  </mergeCells>
  <pageMargins left="0.54" right="0.22" top="0.32291666666666669" bottom="0.59" header="0.24" footer="0.24"/>
  <pageSetup paperSize="9" orientation="portrait" verticalDpi="0" r:id="rId1"/>
  <headerFooter alignWithMargins="0"/>
  <legacyDrawing r:id="rId2"/>
  <oleObjects>
    <oleObject progId="Word.Document.12" shapeId="8193" r:id="rId3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S37"/>
  <sheetViews>
    <sheetView view="pageLayout" zoomScaleNormal="100" workbookViewId="0">
      <selection activeCell="C29" sqref="C29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3"/>
  </cols>
  <sheetData>
    <row r="1" spans="1:253" ht="15.75">
      <c r="A1" s="1"/>
      <c r="B1" s="2"/>
      <c r="C1" s="205" t="s">
        <v>87</v>
      </c>
      <c r="D1" s="205"/>
      <c r="E1" s="205"/>
      <c r="F1" s="205"/>
      <c r="G1" s="1"/>
    </row>
    <row r="2" spans="1:253" s="4" customFormat="1">
      <c r="B2" s="5"/>
      <c r="C2" s="206" t="s">
        <v>88</v>
      </c>
      <c r="D2" s="206"/>
      <c r="E2" s="206"/>
      <c r="F2" s="206"/>
      <c r="G2" s="5"/>
    </row>
    <row r="3" spans="1:253" s="8" customFormat="1" ht="12">
      <c r="A3" s="6"/>
      <c r="B3" s="7" t="s">
        <v>2</v>
      </c>
      <c r="D3" s="6"/>
      <c r="E3" s="7" t="s">
        <v>59</v>
      </c>
      <c r="F3" s="6"/>
      <c r="G3" s="6"/>
    </row>
    <row r="4" spans="1:253" s="8" customFormat="1" ht="12">
      <c r="A4" s="6"/>
      <c r="B4" s="6"/>
      <c r="D4" s="6"/>
      <c r="E4" s="7"/>
      <c r="F4" s="6"/>
      <c r="G4" s="6"/>
    </row>
    <row r="5" spans="1:253" ht="38.2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</row>
    <row r="6" spans="1:253">
      <c r="A6" s="12"/>
      <c r="B6" s="13"/>
      <c r="C6" s="14" t="s">
        <v>12</v>
      </c>
      <c r="D6" s="13"/>
      <c r="E6" s="15"/>
      <c r="F6" s="15"/>
      <c r="G6" s="17"/>
      <c r="H6" s="20"/>
      <c r="J6" s="18"/>
      <c r="K6" s="18"/>
      <c r="L6" s="18"/>
      <c r="M6" s="19"/>
      <c r="O6" s="20"/>
      <c r="Q6" s="18"/>
      <c r="R6" s="18"/>
      <c r="S6" s="18"/>
      <c r="T6" s="19"/>
      <c r="V6" s="20"/>
      <c r="X6" s="18"/>
      <c r="Y6" s="18"/>
      <c r="Z6" s="18"/>
      <c r="AA6" s="19"/>
      <c r="AC6" s="20"/>
      <c r="AE6" s="18"/>
      <c r="AF6" s="18"/>
      <c r="AG6" s="18"/>
      <c r="AH6" s="19"/>
      <c r="AJ6" s="20"/>
      <c r="AL6" s="18"/>
      <c r="AM6" s="18"/>
      <c r="AN6" s="18"/>
      <c r="AO6" s="19"/>
      <c r="AQ6" s="20"/>
      <c r="AS6" s="18"/>
      <c r="AT6" s="18"/>
      <c r="AU6" s="18"/>
      <c r="AV6" s="19"/>
      <c r="AX6" s="20"/>
      <c r="AZ6" s="18"/>
      <c r="BA6" s="18"/>
      <c r="BB6" s="18"/>
      <c r="BC6" s="19"/>
      <c r="BE6" s="20"/>
      <c r="BG6" s="18"/>
      <c r="BH6" s="18"/>
      <c r="BI6" s="18"/>
      <c r="BJ6" s="19"/>
      <c r="BL6" s="20"/>
      <c r="BN6" s="18"/>
      <c r="BO6" s="18"/>
      <c r="BP6" s="18"/>
      <c r="BQ6" s="19"/>
      <c r="BS6" s="20"/>
      <c r="BU6" s="18"/>
      <c r="BV6" s="18"/>
      <c r="BW6" s="18"/>
      <c r="BX6" s="19"/>
      <c r="BZ6" s="20"/>
      <c r="CB6" s="18"/>
      <c r="CC6" s="18"/>
      <c r="CD6" s="18"/>
      <c r="CE6" s="19"/>
      <c r="CG6" s="20"/>
      <c r="CI6" s="18"/>
      <c r="CJ6" s="18"/>
      <c r="CK6" s="18"/>
      <c r="CL6" s="19"/>
      <c r="CN6" s="20"/>
      <c r="CP6" s="18"/>
      <c r="CQ6" s="18"/>
      <c r="CR6" s="18"/>
      <c r="CS6" s="19"/>
      <c r="CU6" s="20"/>
      <c r="CW6" s="18"/>
      <c r="CX6" s="18"/>
      <c r="CY6" s="18"/>
      <c r="CZ6" s="19"/>
      <c r="DB6" s="20"/>
      <c r="DD6" s="18"/>
      <c r="DE6" s="18"/>
      <c r="DF6" s="18"/>
      <c r="DG6" s="19"/>
      <c r="DI6" s="20"/>
      <c r="DK6" s="18"/>
      <c r="DL6" s="18"/>
      <c r="DM6" s="18"/>
      <c r="DN6" s="19"/>
      <c r="DP6" s="20"/>
      <c r="DR6" s="18"/>
      <c r="DS6" s="18"/>
      <c r="DT6" s="18"/>
      <c r="DU6" s="19"/>
      <c r="DW6" s="20"/>
      <c r="DY6" s="18"/>
      <c r="DZ6" s="18"/>
      <c r="EA6" s="18"/>
      <c r="EB6" s="19"/>
      <c r="ED6" s="20"/>
      <c r="EF6" s="18"/>
      <c r="EG6" s="18"/>
      <c r="EH6" s="18"/>
      <c r="EI6" s="19"/>
      <c r="EK6" s="20"/>
      <c r="EM6" s="18"/>
      <c r="EN6" s="18"/>
      <c r="EO6" s="18"/>
      <c r="EP6" s="19"/>
      <c r="ER6" s="20"/>
      <c r="ET6" s="18"/>
      <c r="EU6" s="18"/>
      <c r="EV6" s="18"/>
      <c r="EW6" s="19"/>
      <c r="EY6" s="20"/>
      <c r="FA6" s="18"/>
      <c r="FB6" s="18"/>
      <c r="FC6" s="18"/>
      <c r="FD6" s="19"/>
      <c r="FF6" s="20"/>
      <c r="FH6" s="18"/>
      <c r="FI6" s="18"/>
      <c r="FJ6" s="18"/>
      <c r="FK6" s="19"/>
      <c r="FM6" s="20"/>
      <c r="FO6" s="18"/>
      <c r="FP6" s="18"/>
      <c r="FQ6" s="18"/>
      <c r="FR6" s="19"/>
      <c r="FT6" s="20"/>
      <c r="FV6" s="18"/>
      <c r="FW6" s="18"/>
      <c r="FX6" s="18"/>
      <c r="FY6" s="19"/>
      <c r="GA6" s="20"/>
      <c r="GC6" s="18"/>
      <c r="GD6" s="18"/>
      <c r="GE6" s="18"/>
      <c r="GF6" s="19"/>
      <c r="GH6" s="20"/>
      <c r="GJ6" s="18"/>
      <c r="GK6" s="18"/>
      <c r="GL6" s="18"/>
      <c r="GM6" s="19"/>
      <c r="GO6" s="20"/>
      <c r="GQ6" s="18"/>
      <c r="GR6" s="18"/>
      <c r="GS6" s="18"/>
      <c r="GT6" s="19"/>
      <c r="GV6" s="20"/>
      <c r="GX6" s="18"/>
      <c r="GY6" s="18"/>
      <c r="GZ6" s="18"/>
      <c r="HA6" s="19"/>
      <c r="HC6" s="20"/>
      <c r="HE6" s="18"/>
      <c r="HF6" s="18"/>
      <c r="HG6" s="18"/>
      <c r="HH6" s="19"/>
      <c r="HJ6" s="20"/>
      <c r="HL6" s="18"/>
      <c r="HM6" s="18"/>
      <c r="HN6" s="18"/>
      <c r="HO6" s="19"/>
      <c r="HQ6" s="20"/>
      <c r="HS6" s="18"/>
      <c r="HT6" s="18"/>
      <c r="HU6" s="18"/>
      <c r="HV6" s="19"/>
      <c r="HX6" s="20"/>
      <c r="HZ6" s="18"/>
      <c r="IA6" s="18"/>
      <c r="IB6" s="18"/>
      <c r="IC6" s="19"/>
      <c r="IE6" s="20"/>
      <c r="IG6" s="18"/>
      <c r="IH6" s="18"/>
      <c r="II6" s="18"/>
      <c r="IJ6" s="19"/>
      <c r="IL6" s="20"/>
      <c r="IN6" s="18"/>
      <c r="IO6" s="18"/>
      <c r="IP6" s="18"/>
      <c r="IQ6" s="19"/>
      <c r="IS6" s="20"/>
    </row>
    <row r="7" spans="1:253">
      <c r="A7" s="26">
        <v>1</v>
      </c>
      <c r="B7" s="27" t="s">
        <v>13</v>
      </c>
      <c r="C7" s="28" t="s">
        <v>90</v>
      </c>
      <c r="D7" s="27" t="s">
        <v>91</v>
      </c>
      <c r="E7" s="29">
        <v>0.2</v>
      </c>
      <c r="F7" s="101">
        <v>45</v>
      </c>
      <c r="G7" s="31">
        <f>ROUND(E7*F7,2)</f>
        <v>9</v>
      </c>
    </row>
    <row r="8" spans="1:253">
      <c r="A8" s="81"/>
      <c r="B8" s="82"/>
      <c r="C8" s="83"/>
      <c r="D8" s="84"/>
      <c r="E8" s="85" t="s">
        <v>161</v>
      </c>
      <c r="F8" s="106"/>
      <c r="G8" s="88">
        <f>88.79*E7/1000</f>
        <v>1.7758000000000003E-2</v>
      </c>
    </row>
    <row r="9" spans="1:253">
      <c r="A9" s="32"/>
      <c r="B9" s="33"/>
      <c r="C9" s="34"/>
      <c r="D9" s="35"/>
      <c r="E9" s="36" t="s">
        <v>48</v>
      </c>
      <c r="F9" s="106"/>
      <c r="G9" s="37">
        <f>ROUND((F7+G8)*0.75%,2)</f>
        <v>0.34</v>
      </c>
    </row>
    <row r="10" spans="1:253">
      <c r="A10" s="26">
        <v>2</v>
      </c>
      <c r="B10" s="98" t="s">
        <v>13</v>
      </c>
      <c r="C10" s="99" t="s">
        <v>92</v>
      </c>
      <c r="D10" s="98" t="s">
        <v>61</v>
      </c>
      <c r="E10" s="100">
        <v>0.33</v>
      </c>
      <c r="F10" s="101">
        <v>53.57</v>
      </c>
      <c r="G10" s="102">
        <f>ROUND(E10*F10,2)</f>
        <v>17.68</v>
      </c>
    </row>
    <row r="11" spans="1:253">
      <c r="A11" s="81"/>
      <c r="B11" s="103"/>
      <c r="C11" s="104"/>
      <c r="D11" s="105"/>
      <c r="E11" s="85" t="str">
        <f>E8</f>
        <v xml:space="preserve"> транспортні витрати - 88,79грн/т</v>
      </c>
      <c r="F11" s="106"/>
      <c r="G11" s="107">
        <f>88.79*E10/1000</f>
        <v>2.9300700000000002E-2</v>
      </c>
    </row>
    <row r="12" spans="1:253">
      <c r="A12" s="32"/>
      <c r="B12" s="108"/>
      <c r="C12" s="109"/>
      <c r="D12" s="110"/>
      <c r="E12" s="111" t="s">
        <v>18</v>
      </c>
      <c r="F12" s="113"/>
      <c r="G12" s="112">
        <f>ROUND((F10+G11)*2%,2)</f>
        <v>1.07</v>
      </c>
    </row>
    <row r="13" spans="1:253">
      <c r="A13" s="26">
        <v>3</v>
      </c>
      <c r="B13" s="27" t="s">
        <v>13</v>
      </c>
      <c r="C13" s="28" t="s">
        <v>89</v>
      </c>
      <c r="D13" s="27" t="s">
        <v>93</v>
      </c>
      <c r="E13" s="29">
        <v>0.2</v>
      </c>
      <c r="F13" s="101">
        <v>15</v>
      </c>
      <c r="G13" s="31">
        <f>ROUND(E13*F13,2)</f>
        <v>3</v>
      </c>
    </row>
    <row r="14" spans="1:253">
      <c r="A14" s="81"/>
      <c r="B14" s="82"/>
      <c r="C14" s="83"/>
      <c r="D14" s="84"/>
      <c r="E14" s="85" t="str">
        <f>E8</f>
        <v xml:space="preserve"> транспортні витрати - 88,79грн/т</v>
      </c>
      <c r="F14" s="106"/>
      <c r="G14" s="88">
        <f>88.79*E13/1000</f>
        <v>1.7758000000000003E-2</v>
      </c>
    </row>
    <row r="15" spans="1:253">
      <c r="A15" s="32"/>
      <c r="B15" s="33"/>
      <c r="C15" s="34"/>
      <c r="D15" s="35"/>
      <c r="E15" s="36" t="s">
        <v>18</v>
      </c>
      <c r="F15" s="106"/>
      <c r="G15" s="37">
        <f>ROUND((F13+G14)*2%,2)</f>
        <v>0.3</v>
      </c>
    </row>
    <row r="16" spans="1:253" s="4" customFormat="1">
      <c r="A16" s="207" t="s">
        <v>20</v>
      </c>
      <c r="B16" s="208"/>
      <c r="C16" s="208"/>
      <c r="D16" s="208"/>
      <c r="E16" s="141"/>
      <c r="F16" s="141"/>
      <c r="G16" s="38">
        <f>ROUND(SUM(G7:G15),2)+0.01</f>
        <v>31.46</v>
      </c>
      <c r="H16" s="93"/>
    </row>
    <row r="17" spans="1:8">
      <c r="A17" s="12"/>
      <c r="B17" s="13"/>
      <c r="C17" s="14" t="s">
        <v>21</v>
      </c>
      <c r="D17" s="13"/>
      <c r="E17" s="15"/>
      <c r="F17" s="13"/>
      <c r="G17" s="17"/>
    </row>
    <row r="18" spans="1:8">
      <c r="A18" s="26">
        <v>1</v>
      </c>
      <c r="B18" s="28"/>
      <c r="C18" s="90" t="s">
        <v>64</v>
      </c>
      <c r="D18" s="27" t="s">
        <v>23</v>
      </c>
      <c r="E18" s="142">
        <v>0.5</v>
      </c>
      <c r="F18" s="29"/>
      <c r="G18" s="44"/>
    </row>
    <row r="19" spans="1:8" s="4" customFormat="1">
      <c r="A19" s="45"/>
      <c r="B19" s="46"/>
      <c r="C19" s="46"/>
      <c r="D19" s="47" t="s">
        <v>24</v>
      </c>
      <c r="E19" s="97">
        <f>SUM(E17:E18)</f>
        <v>0.5</v>
      </c>
      <c r="F19" s="137">
        <v>66.91</v>
      </c>
      <c r="G19" s="78">
        <f>E19*F19</f>
        <v>33.454999999999998</v>
      </c>
    </row>
    <row r="20" spans="1:8">
      <c r="A20" s="51"/>
      <c r="B20" s="52"/>
      <c r="C20" s="52"/>
      <c r="D20" s="53" t="s">
        <v>25</v>
      </c>
      <c r="E20" s="54"/>
      <c r="G20" s="56">
        <f>G19*42%</f>
        <v>14.051099999999998</v>
      </c>
    </row>
    <row r="21" spans="1:8" s="4" customFormat="1">
      <c r="A21" s="207" t="s">
        <v>26</v>
      </c>
      <c r="B21" s="208"/>
      <c r="C21" s="208"/>
      <c r="D21" s="208"/>
      <c r="E21" s="141"/>
      <c r="F21" s="141"/>
      <c r="G21" s="38">
        <f>G19+G20</f>
        <v>47.506099999999996</v>
      </c>
      <c r="H21" s="93"/>
    </row>
    <row r="22" spans="1:8" customFormat="1">
      <c r="A22" s="57"/>
      <c r="B22" s="58"/>
      <c r="C22" s="58"/>
      <c r="D22" s="59"/>
      <c r="E22" s="58"/>
      <c r="F22" s="60" t="s">
        <v>41</v>
      </c>
      <c r="G22" s="61">
        <f>ROUND(G16+G21,2)</f>
        <v>78.97</v>
      </c>
      <c r="H22" s="79"/>
    </row>
    <row r="23" spans="1:8" customFormat="1">
      <c r="A23" s="62"/>
      <c r="B23" s="63"/>
      <c r="C23" s="63"/>
      <c r="D23" s="64"/>
      <c r="E23" s="63"/>
      <c r="F23" s="65" t="s">
        <v>27</v>
      </c>
      <c r="G23" s="66">
        <f>(G21)*22%</f>
        <v>10.451341999999999</v>
      </c>
    </row>
    <row r="24" spans="1:8" customFormat="1">
      <c r="A24" s="62"/>
      <c r="B24" s="63"/>
      <c r="C24" s="63"/>
      <c r="D24" s="64"/>
      <c r="E24" s="63"/>
      <c r="F24" s="65" t="s">
        <v>156</v>
      </c>
      <c r="G24" s="66">
        <f>ROUND(G21*64.6%,2)</f>
        <v>30.69</v>
      </c>
    </row>
    <row r="25" spans="1:8" customFormat="1">
      <c r="A25" s="62"/>
      <c r="B25" s="63"/>
      <c r="C25" s="63"/>
      <c r="D25" s="64"/>
      <c r="E25" s="63"/>
      <c r="F25" s="65" t="s">
        <v>28</v>
      </c>
      <c r="G25" s="66">
        <f>ROUND(G22+G23+G24,2)</f>
        <v>120.11</v>
      </c>
      <c r="H25" s="3"/>
    </row>
    <row r="26" spans="1:8" customFormat="1">
      <c r="A26" s="62"/>
      <c r="B26" s="63"/>
      <c r="C26" s="63"/>
      <c r="D26" s="63"/>
      <c r="E26" s="63"/>
      <c r="F26" s="65" t="s">
        <v>29</v>
      </c>
      <c r="G26" s="66">
        <f>ROUND(G25*12%,2)</f>
        <v>14.41</v>
      </c>
      <c r="H26" s="3"/>
    </row>
    <row r="27" spans="1:8" customFormat="1">
      <c r="A27" s="62"/>
      <c r="B27" s="63"/>
      <c r="C27" s="63"/>
      <c r="D27" s="64"/>
      <c r="E27" s="63"/>
      <c r="F27" s="67" t="s">
        <v>30</v>
      </c>
      <c r="G27" s="68">
        <f>ROUND(G25+G26,2)</f>
        <v>134.52000000000001</v>
      </c>
      <c r="H27" s="3"/>
    </row>
    <row r="28" spans="1:8" customFormat="1">
      <c r="A28" s="62"/>
      <c r="B28" s="63"/>
      <c r="C28" s="63"/>
      <c r="D28" s="64"/>
      <c r="E28" s="63"/>
      <c r="F28" s="65" t="s">
        <v>31</v>
      </c>
      <c r="G28" s="66">
        <f>ROUND(G27/5,2)</f>
        <v>26.9</v>
      </c>
      <c r="H28" s="3"/>
    </row>
    <row r="29" spans="1:8">
      <c r="A29" s="70"/>
      <c r="B29" s="71"/>
      <c r="C29" s="71"/>
      <c r="D29" s="72"/>
      <c r="E29" s="71"/>
      <c r="F29" s="73" t="s">
        <v>32</v>
      </c>
      <c r="G29" s="74">
        <f>ROUND(G27+G28,2)</f>
        <v>161.41999999999999</v>
      </c>
    </row>
    <row r="32" spans="1:8">
      <c r="B32" s="215" t="s">
        <v>33</v>
      </c>
      <c r="C32" s="215"/>
      <c r="D32" s="215"/>
      <c r="E32" t="s">
        <v>34</v>
      </c>
    </row>
    <row r="33" spans="2:5">
      <c r="C33" s="76"/>
    </row>
    <row r="34" spans="2:5">
      <c r="B34" s="215" t="s">
        <v>35</v>
      </c>
      <c r="C34" s="215"/>
      <c r="D34" s="77"/>
      <c r="E34" t="s">
        <v>42</v>
      </c>
    </row>
    <row r="37" spans="2:5">
      <c r="B37" t="s">
        <v>36</v>
      </c>
      <c r="E37" s="148" t="s">
        <v>99</v>
      </c>
    </row>
  </sheetData>
  <mergeCells count="6">
    <mergeCell ref="B34:C34"/>
    <mergeCell ref="C1:F1"/>
    <mergeCell ref="C2:F2"/>
    <mergeCell ref="A16:D16"/>
    <mergeCell ref="A21:D21"/>
    <mergeCell ref="B32:D32"/>
  </mergeCells>
  <pageMargins left="0.65" right="0.43" top="1.2916666666666667" bottom="0.59" header="0.24" footer="0.24"/>
  <pageSetup paperSize="9" orientation="portrait" verticalDpi="0" r:id="rId1"/>
  <headerFooter alignWithMargins="0">
    <oddHeader>&amp;L&amp;"Arial Cyr,полужирный"ЗАТВЕРДЖЕНО
Директор ММКП "РБУ"
______________ Діус В.В.
29.03.2021р.&amp;R&amp;"Arial Cyr,полужирный"ПОГОДЖЕНО
Начальник УМГ
______________Блінов А.Ю.
29.03.2021р.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29"/>
  <sheetViews>
    <sheetView topLeftCell="A10" zoomScaleNormal="100" workbookViewId="0">
      <selection activeCell="I23" sqref="I23"/>
    </sheetView>
  </sheetViews>
  <sheetFormatPr defaultRowHeight="12.75"/>
  <cols>
    <col min="1" max="1" width="4.140625" customWidth="1"/>
    <col min="2" max="2" width="6" customWidth="1"/>
    <col min="3" max="3" width="2.42578125" style="1" customWidth="1"/>
    <col min="4" max="4" width="6.42578125" customWidth="1"/>
    <col min="5" max="5" width="34.7109375" customWidth="1"/>
    <col min="6" max="6" width="9" customWidth="1"/>
    <col min="7" max="7" width="10" customWidth="1"/>
    <col min="8" max="8" width="10.140625" customWidth="1"/>
    <col min="9" max="9" width="9.85546875" style="152" customWidth="1"/>
    <col min="10" max="16384" width="9.140625" style="3"/>
  </cols>
  <sheetData>
    <row r="1" spans="1:253" ht="63" customHeight="1">
      <c r="A1" s="1"/>
      <c r="B1" s="2"/>
      <c r="C1" s="2"/>
      <c r="D1" s="2"/>
      <c r="E1" s="205"/>
      <c r="F1" s="205"/>
      <c r="G1" s="205"/>
      <c r="H1" s="205"/>
    </row>
    <row r="2" spans="1:253" ht="63" customHeight="1">
      <c r="A2" s="1"/>
      <c r="B2" s="2"/>
      <c r="C2" s="2"/>
      <c r="D2" s="2"/>
      <c r="E2" s="149"/>
      <c r="F2" s="149"/>
      <c r="G2" s="149"/>
      <c r="H2" s="149"/>
    </row>
    <row r="3" spans="1:253" ht="63" customHeight="1">
      <c r="A3" s="1"/>
      <c r="B3" s="2"/>
      <c r="C3" s="2"/>
      <c r="D3" s="2"/>
      <c r="E3" s="149"/>
      <c r="F3" s="149"/>
      <c r="G3" s="149"/>
      <c r="H3" s="149"/>
    </row>
    <row r="4" spans="1:253" ht="83.25" customHeight="1">
      <c r="A4" s="1"/>
      <c r="B4" s="2"/>
      <c r="C4" s="2"/>
      <c r="D4" s="2"/>
      <c r="E4" s="149"/>
      <c r="F4" s="149"/>
      <c r="G4" s="149"/>
      <c r="H4" s="149"/>
    </row>
    <row r="5" spans="1:253" s="4" customFormat="1" ht="110.25" customHeight="1">
      <c r="B5" s="5"/>
      <c r="C5" s="150"/>
      <c r="D5" s="5"/>
      <c r="E5" s="206"/>
      <c r="F5" s="206"/>
      <c r="G5" s="206"/>
      <c r="H5" s="206"/>
      <c r="I5" s="5"/>
    </row>
    <row r="6" spans="1:253" s="4" customFormat="1" ht="70.5" customHeight="1">
      <c r="B6" s="5"/>
      <c r="C6" s="150"/>
      <c r="D6" s="5"/>
      <c r="E6" s="150"/>
      <c r="F6" s="150"/>
      <c r="G6" s="150"/>
      <c r="H6" s="150"/>
      <c r="I6" s="5"/>
    </row>
    <row r="7" spans="1:253" s="156" customFormat="1" ht="18" customHeight="1">
      <c r="A7" s="154"/>
      <c r="B7" s="211" t="s">
        <v>103</v>
      </c>
      <c r="C7" s="212"/>
      <c r="D7" s="213"/>
      <c r="E7" s="214" t="s">
        <v>104</v>
      </c>
      <c r="F7" s="214"/>
      <c r="G7" s="214"/>
      <c r="H7" s="214"/>
      <c r="I7" s="155" t="s">
        <v>105</v>
      </c>
    </row>
    <row r="8" spans="1:253" s="8" customFormat="1" ht="27.75" customHeight="1">
      <c r="A8" s="6"/>
      <c r="B8" s="157">
        <v>0.33333333333333331</v>
      </c>
      <c r="C8" s="158" t="s">
        <v>16</v>
      </c>
      <c r="D8" s="159">
        <f>B8+I8</f>
        <v>0.35416666666666663</v>
      </c>
      <c r="E8" s="209" t="s">
        <v>114</v>
      </c>
      <c r="F8" s="209"/>
      <c r="G8" s="209"/>
      <c r="H8" s="209"/>
      <c r="I8" s="160">
        <v>2.0833333333333332E-2</v>
      </c>
    </row>
    <row r="9" spans="1:253" s="8" customFormat="1" ht="12">
      <c r="A9" s="6"/>
      <c r="B9" s="157">
        <f>D8</f>
        <v>0.35416666666666663</v>
      </c>
      <c r="C9" s="158" t="s">
        <v>16</v>
      </c>
      <c r="D9" s="159">
        <f>B9+I9</f>
        <v>0.5</v>
      </c>
      <c r="E9" s="209" t="s">
        <v>151</v>
      </c>
      <c r="F9" s="209"/>
      <c r="G9" s="209"/>
      <c r="H9" s="209"/>
      <c r="I9" s="160">
        <v>0.14583333333333334</v>
      </c>
    </row>
    <row r="10" spans="1:253" s="8" customFormat="1" ht="12">
      <c r="A10" s="6"/>
      <c r="B10" s="157">
        <f>D9</f>
        <v>0.5</v>
      </c>
      <c r="C10" s="158" t="s">
        <v>16</v>
      </c>
      <c r="D10" s="159">
        <f>B10+I10</f>
        <v>0.54166666666666663</v>
      </c>
      <c r="E10" s="209" t="s">
        <v>107</v>
      </c>
      <c r="F10" s="209"/>
      <c r="G10" s="209"/>
      <c r="H10" s="209"/>
      <c r="I10" s="160">
        <v>4.1666666666666664E-2</v>
      </c>
    </row>
    <row r="11" spans="1:253" s="8" customFormat="1" ht="12" customHeight="1">
      <c r="A11" s="6"/>
      <c r="B11" s="157">
        <f>D10</f>
        <v>0.54166666666666663</v>
      </c>
      <c r="C11" s="158" t="s">
        <v>16</v>
      </c>
      <c r="D11" s="159">
        <f>B11+I11</f>
        <v>0.70138888888888884</v>
      </c>
      <c r="E11" s="209" t="s">
        <v>151</v>
      </c>
      <c r="F11" s="209"/>
      <c r="G11" s="209"/>
      <c r="H11" s="209"/>
      <c r="I11" s="160">
        <v>0.15972222222222224</v>
      </c>
    </row>
    <row r="12" spans="1:253" s="8" customFormat="1" ht="12" customHeight="1">
      <c r="A12" s="6"/>
      <c r="B12" s="157">
        <f>D11</f>
        <v>0.70138888888888884</v>
      </c>
      <c r="C12" s="158" t="s">
        <v>16</v>
      </c>
      <c r="D12" s="159">
        <f>B12+I12</f>
        <v>0.70833333333333326</v>
      </c>
      <c r="E12" s="209" t="s">
        <v>108</v>
      </c>
      <c r="F12" s="209"/>
      <c r="G12" s="209"/>
      <c r="H12" s="209"/>
      <c r="I12" s="160">
        <v>6.9444444444444441E-3</v>
      </c>
    </row>
    <row r="13" spans="1:253" s="8" customFormat="1" ht="12" customHeight="1">
      <c r="A13" s="6"/>
      <c r="B13" s="157"/>
      <c r="C13" s="158"/>
      <c r="D13" s="159"/>
      <c r="E13" s="210" t="s">
        <v>149</v>
      </c>
      <c r="F13" s="210"/>
      <c r="G13" s="210"/>
      <c r="H13" s="210"/>
      <c r="I13" s="160"/>
    </row>
    <row r="14" spans="1:253" s="8" customFormat="1" ht="50.25" customHeight="1">
      <c r="A14" s="6"/>
      <c r="B14" s="161"/>
      <c r="C14" s="162"/>
      <c r="D14" s="161"/>
      <c r="E14" s="163"/>
      <c r="F14" s="163"/>
      <c r="G14" s="163"/>
      <c r="H14" s="163"/>
      <c r="I14" s="164"/>
    </row>
    <row r="15" spans="1:253" ht="25.5">
      <c r="A15" s="165"/>
      <c r="B15" s="165"/>
      <c r="C15" s="165"/>
      <c r="D15" s="165"/>
      <c r="E15" s="166" t="s">
        <v>6</v>
      </c>
      <c r="F15" s="166" t="s">
        <v>7</v>
      </c>
      <c r="G15" s="166" t="s">
        <v>8</v>
      </c>
      <c r="H15" s="167"/>
      <c r="I15" s="165"/>
    </row>
    <row r="16" spans="1:253">
      <c r="A16" s="3"/>
      <c r="B16" s="168"/>
      <c r="C16" s="168"/>
      <c r="D16" s="168"/>
      <c r="E16" s="194" t="s">
        <v>145</v>
      </c>
      <c r="F16" s="195"/>
      <c r="G16" s="196"/>
      <c r="H16" s="18"/>
      <c r="I16" s="172"/>
      <c r="J16" s="18"/>
      <c r="K16" s="18"/>
      <c r="L16" s="18"/>
      <c r="M16" s="19"/>
      <c r="O16" s="20"/>
      <c r="Q16" s="18"/>
      <c r="R16" s="18"/>
      <c r="S16" s="18"/>
      <c r="T16" s="19"/>
      <c r="V16" s="20"/>
      <c r="X16" s="18"/>
      <c r="Y16" s="18"/>
      <c r="Z16" s="18"/>
      <c r="AA16" s="19"/>
      <c r="AC16" s="20"/>
      <c r="AE16" s="18"/>
      <c r="AF16" s="18"/>
      <c r="AG16" s="18"/>
      <c r="AH16" s="19"/>
      <c r="AJ16" s="20"/>
      <c r="AL16" s="18"/>
      <c r="AM16" s="18"/>
      <c r="AN16" s="18"/>
      <c r="AO16" s="19"/>
      <c r="AQ16" s="20"/>
      <c r="AS16" s="18"/>
      <c r="AT16" s="18"/>
      <c r="AU16" s="18"/>
      <c r="AV16" s="19"/>
      <c r="AX16" s="20"/>
      <c r="AZ16" s="18"/>
      <c r="BA16" s="18"/>
      <c r="BB16" s="18"/>
      <c r="BC16" s="19"/>
      <c r="BE16" s="20"/>
      <c r="BG16" s="18"/>
      <c r="BH16" s="18"/>
      <c r="BI16" s="18"/>
      <c r="BJ16" s="19"/>
      <c r="BL16" s="20"/>
      <c r="BN16" s="18"/>
      <c r="BO16" s="18"/>
      <c r="BP16" s="18"/>
      <c r="BQ16" s="19"/>
      <c r="BS16" s="20"/>
      <c r="BU16" s="18"/>
      <c r="BV16" s="18"/>
      <c r="BW16" s="18"/>
      <c r="BX16" s="19"/>
      <c r="BZ16" s="20"/>
      <c r="CB16" s="18"/>
      <c r="CC16" s="18"/>
      <c r="CD16" s="18"/>
      <c r="CE16" s="19"/>
      <c r="CG16" s="20"/>
      <c r="CI16" s="18"/>
      <c r="CJ16" s="18"/>
      <c r="CK16" s="18"/>
      <c r="CL16" s="19"/>
      <c r="CN16" s="20"/>
      <c r="CP16" s="18"/>
      <c r="CQ16" s="18"/>
      <c r="CR16" s="18"/>
      <c r="CS16" s="19"/>
      <c r="CU16" s="20"/>
      <c r="CW16" s="18"/>
      <c r="CX16" s="18"/>
      <c r="CY16" s="18"/>
      <c r="CZ16" s="19"/>
      <c r="DB16" s="20"/>
      <c r="DD16" s="18"/>
      <c r="DE16" s="18"/>
      <c r="DF16" s="18"/>
      <c r="DG16" s="19"/>
      <c r="DI16" s="20"/>
      <c r="DK16" s="18"/>
      <c r="DL16" s="18"/>
      <c r="DM16" s="18"/>
      <c r="DN16" s="19"/>
      <c r="DP16" s="20"/>
      <c r="DR16" s="18"/>
      <c r="DS16" s="18"/>
      <c r="DT16" s="18"/>
      <c r="DU16" s="19"/>
      <c r="DW16" s="20"/>
      <c r="DY16" s="18"/>
      <c r="DZ16" s="18"/>
      <c r="EA16" s="18"/>
      <c r="EB16" s="19"/>
      <c r="ED16" s="20"/>
      <c r="EF16" s="18"/>
      <c r="EG16" s="18"/>
      <c r="EH16" s="18"/>
      <c r="EI16" s="19"/>
      <c r="EK16" s="20"/>
      <c r="EM16" s="18"/>
      <c r="EN16" s="18"/>
      <c r="EO16" s="18"/>
      <c r="EP16" s="19"/>
      <c r="ER16" s="20"/>
      <c r="ET16" s="18"/>
      <c r="EU16" s="18"/>
      <c r="EV16" s="18"/>
      <c r="EW16" s="19"/>
      <c r="EY16" s="20"/>
      <c r="FA16" s="18"/>
      <c r="FB16" s="18"/>
      <c r="FC16" s="18"/>
      <c r="FD16" s="19"/>
      <c r="FF16" s="20"/>
      <c r="FH16" s="18"/>
      <c r="FI16" s="18"/>
      <c r="FJ16" s="18"/>
      <c r="FK16" s="19"/>
      <c r="FM16" s="20"/>
      <c r="FO16" s="18"/>
      <c r="FP16" s="18"/>
      <c r="FQ16" s="18"/>
      <c r="FR16" s="19"/>
      <c r="FT16" s="20"/>
      <c r="FV16" s="18"/>
      <c r="FW16" s="18"/>
      <c r="FX16" s="18"/>
      <c r="FY16" s="19"/>
      <c r="GA16" s="20"/>
      <c r="GC16" s="18"/>
      <c r="GD16" s="18"/>
      <c r="GE16" s="18"/>
      <c r="GF16" s="19"/>
      <c r="GH16" s="20"/>
      <c r="GJ16" s="18"/>
      <c r="GK16" s="18"/>
      <c r="GL16" s="18"/>
      <c r="GM16" s="19"/>
      <c r="GO16" s="20"/>
      <c r="GQ16" s="18"/>
      <c r="GR16" s="18"/>
      <c r="GS16" s="18"/>
      <c r="GT16" s="19"/>
      <c r="GV16" s="20"/>
      <c r="GX16" s="18"/>
      <c r="GY16" s="18"/>
      <c r="GZ16" s="18"/>
      <c r="HA16" s="19"/>
      <c r="HC16" s="20"/>
      <c r="HE16" s="18"/>
      <c r="HF16" s="18"/>
      <c r="HG16" s="18"/>
      <c r="HH16" s="19"/>
      <c r="HJ16" s="20"/>
      <c r="HL16" s="18"/>
      <c r="HM16" s="18"/>
      <c r="HN16" s="18"/>
      <c r="HO16" s="19"/>
      <c r="HQ16" s="20"/>
      <c r="HS16" s="18"/>
      <c r="HT16" s="18"/>
      <c r="HU16" s="18"/>
      <c r="HV16" s="19"/>
      <c r="HX16" s="20"/>
      <c r="HZ16" s="18"/>
      <c r="IA16" s="18"/>
      <c r="IB16" s="18"/>
      <c r="IC16" s="19"/>
      <c r="IE16" s="20"/>
      <c r="IG16" s="18"/>
      <c r="IH16" s="18"/>
      <c r="II16" s="18"/>
      <c r="IJ16" s="19"/>
      <c r="IL16" s="20"/>
      <c r="IN16" s="18"/>
      <c r="IO16" s="18"/>
      <c r="IP16" s="18"/>
      <c r="IQ16" s="19"/>
      <c r="IS16" s="20"/>
    </row>
    <row r="17" spans="1:253">
      <c r="A17" s="172"/>
      <c r="B17" s="172"/>
      <c r="C17" s="172"/>
      <c r="D17" s="172"/>
      <c r="E17" s="200" t="s">
        <v>90</v>
      </c>
      <c r="F17" s="11" t="s">
        <v>150</v>
      </c>
      <c r="G17" s="201">
        <v>0.2</v>
      </c>
      <c r="H17" s="173"/>
      <c r="I17" s="174"/>
    </row>
    <row r="18" spans="1:253">
      <c r="A18" s="172"/>
      <c r="B18" s="172"/>
      <c r="C18" s="172"/>
      <c r="D18" s="172"/>
      <c r="E18" s="202" t="s">
        <v>92</v>
      </c>
      <c r="F18" s="11" t="s">
        <v>61</v>
      </c>
      <c r="G18" s="203">
        <v>0.33</v>
      </c>
      <c r="H18" s="173"/>
      <c r="I18" s="174"/>
    </row>
    <row r="19" spans="1:253">
      <c r="A19" s="172"/>
      <c r="B19" s="172"/>
      <c r="C19" s="172"/>
      <c r="D19" s="172"/>
      <c r="E19" s="200" t="s">
        <v>89</v>
      </c>
      <c r="F19" s="11" t="s">
        <v>93</v>
      </c>
      <c r="G19" s="201">
        <v>0.2</v>
      </c>
      <c r="H19" s="173"/>
      <c r="I19" s="174"/>
    </row>
    <row r="20" spans="1:253">
      <c r="A20" s="3"/>
      <c r="B20" s="168"/>
      <c r="C20" s="168"/>
      <c r="D20" s="168"/>
      <c r="E20" s="197" t="s">
        <v>111</v>
      </c>
      <c r="F20" s="198"/>
      <c r="G20" s="199"/>
      <c r="H20" s="18"/>
      <c r="I20" s="172"/>
      <c r="J20" s="18"/>
      <c r="K20" s="18"/>
      <c r="L20" s="18"/>
      <c r="M20" s="19"/>
      <c r="O20" s="20"/>
      <c r="Q20" s="18"/>
      <c r="R20" s="18"/>
      <c r="S20" s="18"/>
      <c r="T20" s="19"/>
      <c r="V20" s="20"/>
      <c r="X20" s="18"/>
      <c r="Y20" s="18"/>
      <c r="Z20" s="18"/>
      <c r="AA20" s="19"/>
      <c r="AC20" s="20"/>
      <c r="AE20" s="18"/>
      <c r="AF20" s="18"/>
      <c r="AG20" s="18"/>
      <c r="AH20" s="19"/>
      <c r="AJ20" s="20"/>
      <c r="AL20" s="18"/>
      <c r="AM20" s="18"/>
      <c r="AN20" s="18"/>
      <c r="AO20" s="19"/>
      <c r="AQ20" s="20"/>
      <c r="AS20" s="18"/>
      <c r="AT20" s="18"/>
      <c r="AU20" s="18"/>
      <c r="AV20" s="19"/>
      <c r="AX20" s="20"/>
      <c r="AZ20" s="18"/>
      <c r="BA20" s="18"/>
      <c r="BB20" s="18"/>
      <c r="BC20" s="19"/>
      <c r="BE20" s="20"/>
      <c r="BG20" s="18"/>
      <c r="BH20" s="18"/>
      <c r="BI20" s="18"/>
      <c r="BJ20" s="19"/>
      <c r="BL20" s="20"/>
      <c r="BN20" s="18"/>
      <c r="BO20" s="18"/>
      <c r="BP20" s="18"/>
      <c r="BQ20" s="19"/>
      <c r="BS20" s="20"/>
      <c r="BU20" s="18"/>
      <c r="BV20" s="18"/>
      <c r="BW20" s="18"/>
      <c r="BX20" s="19"/>
      <c r="BZ20" s="20"/>
      <c r="CB20" s="18"/>
      <c r="CC20" s="18"/>
      <c r="CD20" s="18"/>
      <c r="CE20" s="19"/>
      <c r="CG20" s="20"/>
      <c r="CI20" s="18"/>
      <c r="CJ20" s="18"/>
      <c r="CK20" s="18"/>
      <c r="CL20" s="19"/>
      <c r="CN20" s="20"/>
      <c r="CP20" s="18"/>
      <c r="CQ20" s="18"/>
      <c r="CR20" s="18"/>
      <c r="CS20" s="19"/>
      <c r="CU20" s="20"/>
      <c r="CW20" s="18"/>
      <c r="CX20" s="18"/>
      <c r="CY20" s="18"/>
      <c r="CZ20" s="19"/>
      <c r="DB20" s="20"/>
      <c r="DD20" s="18"/>
      <c r="DE20" s="18"/>
      <c r="DF20" s="18"/>
      <c r="DG20" s="19"/>
      <c r="DI20" s="20"/>
      <c r="DK20" s="18"/>
      <c r="DL20" s="18"/>
      <c r="DM20" s="18"/>
      <c r="DN20" s="19"/>
      <c r="DP20" s="20"/>
      <c r="DR20" s="18"/>
      <c r="DS20" s="18"/>
      <c r="DT20" s="18"/>
      <c r="DU20" s="19"/>
      <c r="DW20" s="20"/>
      <c r="DY20" s="18"/>
      <c r="DZ20" s="18"/>
      <c r="EA20" s="18"/>
      <c r="EB20" s="19"/>
      <c r="ED20" s="20"/>
      <c r="EF20" s="18"/>
      <c r="EG20" s="18"/>
      <c r="EH20" s="18"/>
      <c r="EI20" s="19"/>
      <c r="EK20" s="20"/>
      <c r="EM20" s="18"/>
      <c r="EN20" s="18"/>
      <c r="EO20" s="18"/>
      <c r="EP20" s="19"/>
      <c r="ER20" s="20"/>
      <c r="ET20" s="18"/>
      <c r="EU20" s="18"/>
      <c r="EV20" s="18"/>
      <c r="EW20" s="19"/>
      <c r="EY20" s="20"/>
      <c r="FA20" s="18"/>
      <c r="FB20" s="18"/>
      <c r="FC20" s="18"/>
      <c r="FD20" s="19"/>
      <c r="FF20" s="20"/>
      <c r="FH20" s="18"/>
      <c r="FI20" s="18"/>
      <c r="FJ20" s="18"/>
      <c r="FK20" s="19"/>
      <c r="FM20" s="20"/>
      <c r="FO20" s="18"/>
      <c r="FP20" s="18"/>
      <c r="FQ20" s="18"/>
      <c r="FR20" s="19"/>
      <c r="FT20" s="20"/>
      <c r="FV20" s="18"/>
      <c r="FW20" s="18"/>
      <c r="FX20" s="18"/>
      <c r="FY20" s="19"/>
      <c r="GA20" s="20"/>
      <c r="GC20" s="18"/>
      <c r="GD20" s="18"/>
      <c r="GE20" s="18"/>
      <c r="GF20" s="19"/>
      <c r="GH20" s="20"/>
      <c r="GJ20" s="18"/>
      <c r="GK20" s="18"/>
      <c r="GL20" s="18"/>
      <c r="GM20" s="19"/>
      <c r="GO20" s="20"/>
      <c r="GQ20" s="18"/>
      <c r="GR20" s="18"/>
      <c r="GS20" s="18"/>
      <c r="GT20" s="19"/>
      <c r="GV20" s="20"/>
      <c r="GX20" s="18"/>
      <c r="GY20" s="18"/>
      <c r="GZ20" s="18"/>
      <c r="HA20" s="19"/>
      <c r="HC20" s="20"/>
      <c r="HE20" s="18"/>
      <c r="HF20" s="18"/>
      <c r="HG20" s="18"/>
      <c r="HH20" s="19"/>
      <c r="HJ20" s="20"/>
      <c r="HL20" s="18"/>
      <c r="HM20" s="18"/>
      <c r="HN20" s="18"/>
      <c r="HO20" s="19"/>
      <c r="HQ20" s="20"/>
      <c r="HS20" s="18"/>
      <c r="HT20" s="18"/>
      <c r="HU20" s="18"/>
      <c r="HV20" s="19"/>
      <c r="HX20" s="20"/>
      <c r="HZ20" s="18"/>
      <c r="IA20" s="18"/>
      <c r="IB20" s="18"/>
      <c r="IC20" s="19"/>
      <c r="IE20" s="20"/>
      <c r="IG20" s="18"/>
      <c r="IH20" s="18"/>
      <c r="II20" s="18"/>
      <c r="IJ20" s="19"/>
      <c r="IL20" s="20"/>
      <c r="IN20" s="18"/>
      <c r="IO20" s="18"/>
      <c r="IP20" s="18"/>
      <c r="IQ20" s="19"/>
      <c r="IS20" s="20"/>
    </row>
    <row r="21" spans="1:253" s="178" customFormat="1">
      <c r="E21" s="90" t="s">
        <v>64</v>
      </c>
      <c r="F21" s="84" t="s">
        <v>23</v>
      </c>
      <c r="G21" s="153">
        <v>0.5</v>
      </c>
      <c r="H21" s="179"/>
    </row>
    <row r="22" spans="1:253">
      <c r="A22" s="172"/>
      <c r="B22" s="172"/>
      <c r="C22" s="172"/>
      <c r="D22" s="172"/>
      <c r="E22" s="91" t="s">
        <v>139</v>
      </c>
      <c r="F22" s="127" t="s">
        <v>23</v>
      </c>
      <c r="G22" s="137">
        <f>SUM(G21:G21)</f>
        <v>0.5</v>
      </c>
      <c r="H22" s="18"/>
      <c r="I22" s="172"/>
    </row>
    <row r="24" spans="1:253">
      <c r="D24" s="181" t="s">
        <v>112</v>
      </c>
    </row>
    <row r="25" spans="1:253" ht="27.75" customHeight="1">
      <c r="B25" s="76"/>
      <c r="D25" s="76"/>
      <c r="E25" s="76" t="s">
        <v>113</v>
      </c>
      <c r="F25" t="s">
        <v>115</v>
      </c>
    </row>
    <row r="26" spans="1:253" ht="27.75" customHeight="1">
      <c r="B26" s="76"/>
      <c r="D26" s="76"/>
      <c r="E26" s="76" t="s">
        <v>113</v>
      </c>
      <c r="F26" t="s">
        <v>116</v>
      </c>
    </row>
    <row r="27" spans="1:253" ht="27" customHeight="1">
      <c r="E27" s="76" t="s">
        <v>113</v>
      </c>
      <c r="F27" t="s">
        <v>42</v>
      </c>
    </row>
    <row r="28" spans="1:253" ht="22.5" customHeight="1">
      <c r="E28" s="76"/>
    </row>
    <row r="29" spans="1:253" customFormat="1">
      <c r="C29" s="1"/>
      <c r="E29" s="76"/>
      <c r="I29" s="15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</sheetData>
  <mergeCells count="10">
    <mergeCell ref="B7:D7"/>
    <mergeCell ref="E7:H7"/>
    <mergeCell ref="E8:H8"/>
    <mergeCell ref="E9:H9"/>
    <mergeCell ref="E10:H10"/>
    <mergeCell ref="E11:H11"/>
    <mergeCell ref="E12:H12"/>
    <mergeCell ref="E13:H13"/>
    <mergeCell ref="E1:H1"/>
    <mergeCell ref="E5:H5"/>
  </mergeCells>
  <pageMargins left="0.65" right="0.43" top="0.32291666666666669" bottom="0.59" header="0.24" footer="0.24"/>
  <pageSetup paperSize="9" scale="95" orientation="portrait" verticalDpi="0" r:id="rId1"/>
  <headerFooter alignWithMargins="0"/>
  <legacyDrawing r:id="rId2"/>
  <oleObjects>
    <oleObject progId="Word.Document.12" shapeId="9217" r:id="rId3"/>
    <oleObject progId="Word.Document.12" shapeId="9218" r:id="rId4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S42"/>
  <sheetViews>
    <sheetView tabSelected="1" view="pageLayout" zoomScaleNormal="100" workbookViewId="0">
      <selection activeCell="K26" sqref="K26"/>
    </sheetView>
  </sheetViews>
  <sheetFormatPr defaultRowHeight="12.75" outlineLevelCol="1"/>
  <cols>
    <col min="1" max="1" width="4.140625" customWidth="1"/>
    <col min="2" max="2" width="12.42578125" customWidth="1"/>
    <col min="3" max="3" width="34.7109375" customWidth="1"/>
    <col min="4" max="4" width="9" customWidth="1"/>
    <col min="5" max="5" width="10" customWidth="1"/>
    <col min="6" max="6" width="10.140625" customWidth="1"/>
    <col min="7" max="7" width="9.85546875" customWidth="1"/>
    <col min="8" max="8" width="9.140625" style="3" hidden="1" customWidth="1" outlineLevel="1"/>
    <col min="9" max="9" width="9.140625" style="3" collapsed="1"/>
    <col min="10" max="16384" width="9.140625" style="3"/>
  </cols>
  <sheetData>
    <row r="1" spans="1:253" ht="15.75">
      <c r="A1" s="1"/>
      <c r="B1" s="2"/>
      <c r="C1" s="205" t="s">
        <v>148</v>
      </c>
      <c r="D1" s="205"/>
      <c r="E1" s="205"/>
      <c r="F1" s="205"/>
      <c r="G1" s="1"/>
    </row>
    <row r="2" spans="1:253" s="4" customFormat="1">
      <c r="B2" s="5"/>
      <c r="C2" s="206" t="s">
        <v>102</v>
      </c>
      <c r="D2" s="206"/>
      <c r="E2" s="206"/>
      <c r="F2" s="206"/>
      <c r="G2" s="5"/>
    </row>
    <row r="3" spans="1:253" s="8" customFormat="1" ht="12">
      <c r="A3" s="6"/>
      <c r="B3" s="7" t="s">
        <v>2</v>
      </c>
      <c r="D3" s="6"/>
      <c r="E3" s="7" t="s">
        <v>3</v>
      </c>
      <c r="F3" s="6"/>
      <c r="G3" s="6"/>
    </row>
    <row r="4" spans="1:253" ht="25.5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45</v>
      </c>
      <c r="G4" s="9" t="s">
        <v>10</v>
      </c>
      <c r="H4" s="10" t="s">
        <v>11</v>
      </c>
    </row>
    <row r="5" spans="1:253">
      <c r="A5" s="12"/>
      <c r="B5" s="13"/>
      <c r="C5" s="14" t="s">
        <v>12</v>
      </c>
      <c r="D5" s="13"/>
      <c r="E5" s="15"/>
      <c r="F5" s="15"/>
      <c r="G5" s="17"/>
      <c r="H5" s="20"/>
      <c r="J5" s="18"/>
      <c r="K5" s="18"/>
      <c r="L5" s="18"/>
      <c r="M5" s="19"/>
      <c r="O5" s="20"/>
      <c r="Q5" s="18"/>
      <c r="R5" s="18"/>
      <c r="S5" s="18"/>
      <c r="T5" s="19"/>
      <c r="V5" s="20"/>
      <c r="X5" s="18"/>
      <c r="Y5" s="18"/>
      <c r="Z5" s="18"/>
      <c r="AA5" s="19"/>
      <c r="AC5" s="20"/>
      <c r="AE5" s="18"/>
      <c r="AF5" s="18"/>
      <c r="AG5" s="18"/>
      <c r="AH5" s="19"/>
      <c r="AJ5" s="20"/>
      <c r="AL5" s="18"/>
      <c r="AM5" s="18"/>
      <c r="AN5" s="18"/>
      <c r="AO5" s="19"/>
      <c r="AQ5" s="20"/>
      <c r="AS5" s="18"/>
      <c r="AT5" s="18"/>
      <c r="AU5" s="18"/>
      <c r="AV5" s="19"/>
      <c r="AX5" s="20"/>
      <c r="AZ5" s="18"/>
      <c r="BA5" s="18"/>
      <c r="BB5" s="18"/>
      <c r="BC5" s="19"/>
      <c r="BE5" s="20"/>
      <c r="BG5" s="18"/>
      <c r="BH5" s="18"/>
      <c r="BI5" s="18"/>
      <c r="BJ5" s="19"/>
      <c r="BL5" s="20"/>
      <c r="BN5" s="18"/>
      <c r="BO5" s="18"/>
      <c r="BP5" s="18"/>
      <c r="BQ5" s="19"/>
      <c r="BS5" s="20"/>
      <c r="BU5" s="18"/>
      <c r="BV5" s="18"/>
      <c r="BW5" s="18"/>
      <c r="BX5" s="19"/>
      <c r="BZ5" s="20"/>
      <c r="CB5" s="18"/>
      <c r="CC5" s="18"/>
      <c r="CD5" s="18"/>
      <c r="CE5" s="19"/>
      <c r="CG5" s="20"/>
      <c r="CI5" s="18"/>
      <c r="CJ5" s="18"/>
      <c r="CK5" s="18"/>
      <c r="CL5" s="19"/>
      <c r="CN5" s="20"/>
      <c r="CP5" s="18"/>
      <c r="CQ5" s="18"/>
      <c r="CR5" s="18"/>
      <c r="CS5" s="19"/>
      <c r="CU5" s="20"/>
      <c r="CW5" s="18"/>
      <c r="CX5" s="18"/>
      <c r="CY5" s="18"/>
      <c r="CZ5" s="19"/>
      <c r="DB5" s="20"/>
      <c r="DD5" s="18"/>
      <c r="DE5" s="18"/>
      <c r="DF5" s="18"/>
      <c r="DG5" s="19"/>
      <c r="DI5" s="20"/>
      <c r="DK5" s="18"/>
      <c r="DL5" s="18"/>
      <c r="DM5" s="18"/>
      <c r="DN5" s="19"/>
      <c r="DP5" s="20"/>
      <c r="DR5" s="18"/>
      <c r="DS5" s="18"/>
      <c r="DT5" s="18"/>
      <c r="DU5" s="19"/>
      <c r="DW5" s="20"/>
      <c r="DY5" s="18"/>
      <c r="DZ5" s="18"/>
      <c r="EA5" s="18"/>
      <c r="EB5" s="19"/>
      <c r="ED5" s="20"/>
      <c r="EF5" s="18"/>
      <c r="EG5" s="18"/>
      <c r="EH5" s="18"/>
      <c r="EI5" s="19"/>
      <c r="EK5" s="20"/>
      <c r="EM5" s="18"/>
      <c r="EN5" s="18"/>
      <c r="EO5" s="18"/>
      <c r="EP5" s="19"/>
      <c r="ER5" s="20"/>
      <c r="ET5" s="18"/>
      <c r="EU5" s="18"/>
      <c r="EV5" s="18"/>
      <c r="EW5" s="19"/>
      <c r="EY5" s="20"/>
      <c r="FA5" s="18"/>
      <c r="FB5" s="18"/>
      <c r="FC5" s="18"/>
      <c r="FD5" s="19"/>
      <c r="FF5" s="20"/>
      <c r="FH5" s="18"/>
      <c r="FI5" s="18"/>
      <c r="FJ5" s="18"/>
      <c r="FK5" s="19"/>
      <c r="FM5" s="20"/>
      <c r="FO5" s="18"/>
      <c r="FP5" s="18"/>
      <c r="FQ5" s="18"/>
      <c r="FR5" s="19"/>
      <c r="FT5" s="20"/>
      <c r="FV5" s="18"/>
      <c r="FW5" s="18"/>
      <c r="FX5" s="18"/>
      <c r="FY5" s="19"/>
      <c r="GA5" s="20"/>
      <c r="GC5" s="18"/>
      <c r="GD5" s="18"/>
      <c r="GE5" s="18"/>
      <c r="GF5" s="19"/>
      <c r="GH5" s="20"/>
      <c r="GJ5" s="18"/>
      <c r="GK5" s="18"/>
      <c r="GL5" s="18"/>
      <c r="GM5" s="19"/>
      <c r="GO5" s="20"/>
      <c r="GQ5" s="18"/>
      <c r="GR5" s="18"/>
      <c r="GS5" s="18"/>
      <c r="GT5" s="19"/>
      <c r="GV5" s="20"/>
      <c r="GX5" s="18"/>
      <c r="GY5" s="18"/>
      <c r="GZ5" s="18"/>
      <c r="HA5" s="19"/>
      <c r="HC5" s="20"/>
      <c r="HE5" s="18"/>
      <c r="HF5" s="18"/>
      <c r="HG5" s="18"/>
      <c r="HH5" s="19"/>
      <c r="HJ5" s="20"/>
      <c r="HL5" s="18"/>
      <c r="HM5" s="18"/>
      <c r="HN5" s="18"/>
      <c r="HO5" s="19"/>
      <c r="HQ5" s="20"/>
      <c r="HS5" s="18"/>
      <c r="HT5" s="18"/>
      <c r="HU5" s="18"/>
      <c r="HV5" s="19"/>
      <c r="HX5" s="20"/>
      <c r="HZ5" s="18"/>
      <c r="IA5" s="18"/>
      <c r="IB5" s="18"/>
      <c r="IC5" s="19"/>
      <c r="IE5" s="20"/>
      <c r="IG5" s="18"/>
      <c r="IH5" s="18"/>
      <c r="II5" s="18"/>
      <c r="IJ5" s="19"/>
      <c r="IL5" s="20"/>
      <c r="IN5" s="18"/>
      <c r="IO5" s="18"/>
      <c r="IP5" s="18"/>
      <c r="IQ5" s="19"/>
      <c r="IS5" s="20"/>
    </row>
    <row r="6" spans="1:253">
      <c r="A6" s="26">
        <v>1</v>
      </c>
      <c r="B6" s="27"/>
      <c r="C6" s="28" t="s">
        <v>47</v>
      </c>
      <c r="D6" s="27" t="s">
        <v>15</v>
      </c>
      <c r="E6" s="29">
        <v>1</v>
      </c>
      <c r="F6" s="101" t="s">
        <v>100</v>
      </c>
      <c r="G6" s="31"/>
    </row>
    <row r="7" spans="1:253">
      <c r="A7" s="32"/>
      <c r="B7" s="33"/>
      <c r="C7" s="34"/>
      <c r="D7" s="35"/>
      <c r="E7" s="111" t="s">
        <v>83</v>
      </c>
      <c r="F7" s="106"/>
      <c r="G7" s="37"/>
    </row>
    <row r="8" spans="1:253">
      <c r="A8" s="26">
        <v>2</v>
      </c>
      <c r="B8" s="27" t="s">
        <v>13</v>
      </c>
      <c r="C8" s="28" t="s">
        <v>65</v>
      </c>
      <c r="D8" s="27" t="s">
        <v>49</v>
      </c>
      <c r="E8" s="29">
        <f>0.8*0.096</f>
        <v>7.6800000000000007E-2</v>
      </c>
      <c r="F8" s="101">
        <v>375</v>
      </c>
      <c r="G8" s="31">
        <f>E8*F8</f>
        <v>28.800000000000004</v>
      </c>
    </row>
    <row r="9" spans="1:253">
      <c r="A9" s="81"/>
      <c r="B9" s="82"/>
      <c r="C9" s="83"/>
      <c r="D9" s="84"/>
      <c r="E9" s="87" t="s">
        <v>158</v>
      </c>
      <c r="F9" s="106"/>
      <c r="G9" s="86">
        <f>E8*80.78</f>
        <v>6.2039040000000005</v>
      </c>
    </row>
    <row r="10" spans="1:253">
      <c r="A10" s="32"/>
      <c r="B10" s="33"/>
      <c r="C10" s="34"/>
      <c r="D10" s="35"/>
      <c r="E10" s="36" t="s">
        <v>18</v>
      </c>
      <c r="F10" s="106"/>
      <c r="G10" s="37">
        <f>(F8+G9)*2%</f>
        <v>7.6240780800000003</v>
      </c>
    </row>
    <row r="11" spans="1:253">
      <c r="A11" s="26">
        <v>3</v>
      </c>
      <c r="B11" s="27" t="s">
        <v>13</v>
      </c>
      <c r="C11" s="28" t="s">
        <v>50</v>
      </c>
      <c r="D11" s="27" t="s">
        <v>49</v>
      </c>
      <c r="E11" s="29">
        <f>0.53*0.096</f>
        <v>5.0880000000000002E-2</v>
      </c>
      <c r="F11" s="101">
        <v>483.33</v>
      </c>
      <c r="G11" s="31">
        <f>E11*F11</f>
        <v>24.591830399999999</v>
      </c>
    </row>
    <row r="12" spans="1:253">
      <c r="A12" s="81"/>
      <c r="B12" s="82"/>
      <c r="C12" s="83"/>
      <c r="D12" s="84"/>
      <c r="E12" s="87" t="s">
        <v>95</v>
      </c>
      <c r="F12" s="106"/>
      <c r="G12" s="86">
        <f>E11*34.09</f>
        <v>1.7344992000000001</v>
      </c>
    </row>
    <row r="13" spans="1:253">
      <c r="A13" s="32"/>
      <c r="B13" s="33"/>
      <c r="C13" s="34"/>
      <c r="D13" s="35"/>
      <c r="E13" s="36" t="s">
        <v>18</v>
      </c>
      <c r="F13" s="106"/>
      <c r="G13" s="37">
        <f>(F11+G12)*2%</f>
        <v>9.7012899840000006</v>
      </c>
    </row>
    <row r="14" spans="1:253">
      <c r="A14" s="26">
        <v>4</v>
      </c>
      <c r="B14" s="27" t="s">
        <v>13</v>
      </c>
      <c r="C14" s="28" t="s">
        <v>51</v>
      </c>
      <c r="D14" s="27" t="s">
        <v>52</v>
      </c>
      <c r="E14" s="29">
        <f>0.286*0.096</f>
        <v>2.7455999999999998E-2</v>
      </c>
      <c r="F14" s="101">
        <v>3000</v>
      </c>
      <c r="G14" s="31">
        <f>E14*F14</f>
        <v>82.367999999999995</v>
      </c>
    </row>
    <row r="15" spans="1:253">
      <c r="A15" s="81"/>
      <c r="B15" s="82"/>
      <c r="C15" s="83"/>
      <c r="D15" s="84"/>
      <c r="E15" s="87" t="s">
        <v>160</v>
      </c>
      <c r="F15" s="3"/>
      <c r="G15" s="88">
        <f>88.79*E14</f>
        <v>2.4378182399999999</v>
      </c>
    </row>
    <row r="16" spans="1:253">
      <c r="A16" s="32"/>
      <c r="B16" s="33"/>
      <c r="C16" s="34"/>
      <c r="D16" s="35"/>
      <c r="E16" s="36" t="s">
        <v>18</v>
      </c>
      <c r="F16" s="3"/>
      <c r="G16" s="37">
        <f>(F14+G15)*2%</f>
        <v>60.048756364799999</v>
      </c>
    </row>
    <row r="17" spans="1:8" s="4" customFormat="1">
      <c r="A17" s="207" t="s">
        <v>20</v>
      </c>
      <c r="B17" s="208"/>
      <c r="C17" s="208"/>
      <c r="D17" s="208"/>
      <c r="E17" s="151"/>
      <c r="F17" s="151"/>
      <c r="G17" s="38">
        <f>ROUND(SUM(G6:G7,G8:G10,G11:G13,G14:G16),2)-0.01</f>
        <v>223.5</v>
      </c>
      <c r="H17"/>
    </row>
    <row r="18" spans="1:8">
      <c r="A18" s="12"/>
      <c r="B18" s="13"/>
      <c r="C18" s="14" t="s">
        <v>21</v>
      </c>
      <c r="D18" s="13"/>
      <c r="E18" s="15"/>
      <c r="F18" s="15"/>
      <c r="G18" s="17"/>
    </row>
    <row r="19" spans="1:8" ht="25.5">
      <c r="A19" s="89">
        <v>1</v>
      </c>
      <c r="B19" s="90"/>
      <c r="C19" s="91" t="s">
        <v>53</v>
      </c>
      <c r="D19" s="84" t="s">
        <v>23</v>
      </c>
      <c r="E19" s="92">
        <v>0.77</v>
      </c>
      <c r="G19" s="217"/>
    </row>
    <row r="20" spans="1:8">
      <c r="A20" s="89">
        <v>2</v>
      </c>
      <c r="B20" s="90"/>
      <c r="C20" s="91" t="s">
        <v>101</v>
      </c>
      <c r="D20" s="84" t="s">
        <v>23</v>
      </c>
      <c r="E20" s="153">
        <v>0.8</v>
      </c>
      <c r="G20" s="218"/>
    </row>
    <row r="21" spans="1:8">
      <c r="A21" s="89">
        <v>3</v>
      </c>
      <c r="B21" s="90"/>
      <c r="C21" s="91" t="s">
        <v>54</v>
      </c>
      <c r="D21" s="84" t="s">
        <v>23</v>
      </c>
      <c r="E21" s="92">
        <v>0.42</v>
      </c>
      <c r="G21" s="218"/>
    </row>
    <row r="22" spans="1:8">
      <c r="A22" s="89">
        <v>4</v>
      </c>
      <c r="B22" s="90"/>
      <c r="C22" s="91" t="s">
        <v>55</v>
      </c>
      <c r="D22" s="84" t="s">
        <v>23</v>
      </c>
      <c r="E22" s="92">
        <v>0.25</v>
      </c>
      <c r="G22" s="218"/>
    </row>
    <row r="23" spans="1:8" ht="25.5">
      <c r="A23" s="89"/>
      <c r="B23" s="90"/>
      <c r="C23" s="91" t="s">
        <v>56</v>
      </c>
      <c r="D23" s="84" t="s">
        <v>23</v>
      </c>
      <c r="E23" s="92">
        <v>1.76</v>
      </c>
      <c r="G23" s="219"/>
    </row>
    <row r="24" spans="1:8" s="4" customFormat="1">
      <c r="A24" s="45"/>
      <c r="B24" s="46"/>
      <c r="C24" s="46"/>
      <c r="D24" s="47" t="s">
        <v>24</v>
      </c>
      <c r="E24" s="97">
        <f>SUM(E19:E23)</f>
        <v>4</v>
      </c>
      <c r="F24" s="49">
        <v>66.91</v>
      </c>
      <c r="G24" s="50">
        <f>ROUND(E24*F24,2)</f>
        <v>267.64</v>
      </c>
    </row>
    <row r="25" spans="1:8">
      <c r="A25" s="51"/>
      <c r="B25" s="52"/>
      <c r="C25" s="52"/>
      <c r="D25" s="53" t="s">
        <v>25</v>
      </c>
      <c r="E25" s="54"/>
      <c r="F25" s="55"/>
      <c r="G25" s="56">
        <f>G24*42%</f>
        <v>112.40879999999999</v>
      </c>
    </row>
    <row r="26" spans="1:8" s="4" customFormat="1">
      <c r="A26" s="207" t="s">
        <v>26</v>
      </c>
      <c r="B26" s="208"/>
      <c r="C26" s="208"/>
      <c r="D26" s="208"/>
      <c r="E26" s="151"/>
      <c r="F26" s="151"/>
      <c r="G26" s="38">
        <f>ROUND(G24+G25,2)</f>
        <v>380.05</v>
      </c>
      <c r="H26" s="93"/>
    </row>
    <row r="27" spans="1:8" customFormat="1">
      <c r="A27" s="57"/>
      <c r="B27" s="58"/>
      <c r="C27" s="58"/>
      <c r="D27" s="59"/>
      <c r="E27" s="58"/>
      <c r="F27" s="60" t="s">
        <v>41</v>
      </c>
      <c r="G27" s="61">
        <f>ROUND(G17+G26,2)</f>
        <v>603.54999999999995</v>
      </c>
      <c r="H27" s="79"/>
    </row>
    <row r="28" spans="1:8" customFormat="1">
      <c r="A28" s="62"/>
      <c r="B28" s="63"/>
      <c r="C28" s="63"/>
      <c r="D28" s="64"/>
      <c r="E28" s="63"/>
      <c r="F28" s="65" t="s">
        <v>27</v>
      </c>
      <c r="G28" s="66">
        <f>G26*22%</f>
        <v>83.611000000000004</v>
      </c>
    </row>
    <row r="29" spans="1:8" customFormat="1">
      <c r="A29" s="62"/>
      <c r="B29" s="63"/>
      <c r="C29" s="63"/>
      <c r="D29" s="64"/>
      <c r="E29" s="63"/>
      <c r="F29" s="204" t="s">
        <v>156</v>
      </c>
      <c r="G29" s="66">
        <f>(G26)*64.6%</f>
        <v>245.51229999999998</v>
      </c>
    </row>
    <row r="30" spans="1:8" customFormat="1">
      <c r="A30" s="62"/>
      <c r="B30" s="63"/>
      <c r="C30" s="63"/>
      <c r="D30" s="64"/>
      <c r="E30" s="63"/>
      <c r="F30" s="65" t="s">
        <v>28</v>
      </c>
      <c r="G30" s="66">
        <f>G27+G28+G29</f>
        <v>932.67329999999993</v>
      </c>
      <c r="H30" s="3"/>
    </row>
    <row r="31" spans="1:8" customFormat="1">
      <c r="A31" s="62"/>
      <c r="B31" s="63"/>
      <c r="C31" s="63"/>
      <c r="D31" s="63"/>
      <c r="E31" s="63"/>
      <c r="F31" s="65" t="s">
        <v>29</v>
      </c>
      <c r="G31" s="66">
        <f>G30*12%</f>
        <v>111.92079599999998</v>
      </c>
      <c r="H31" s="3"/>
    </row>
    <row r="32" spans="1:8" customFormat="1">
      <c r="A32" s="62"/>
      <c r="B32" s="63"/>
      <c r="C32" s="63"/>
      <c r="D32" s="64"/>
      <c r="E32" s="63"/>
      <c r="F32" s="67" t="s">
        <v>30</v>
      </c>
      <c r="G32" s="68">
        <f>ROUND(G30+G31,2)</f>
        <v>1044.5899999999999</v>
      </c>
      <c r="H32" s="3"/>
    </row>
    <row r="33" spans="1:8" customFormat="1">
      <c r="A33" s="62"/>
      <c r="B33" s="63"/>
      <c r="C33" s="63"/>
      <c r="D33" s="64"/>
      <c r="E33" s="63"/>
      <c r="F33" s="65" t="s">
        <v>31</v>
      </c>
      <c r="G33" s="66">
        <f>ROUND(G32*20%,2)</f>
        <v>208.92</v>
      </c>
      <c r="H33" s="3"/>
    </row>
    <row r="34" spans="1:8">
      <c r="A34" s="70"/>
      <c r="B34" s="71"/>
      <c r="C34" s="71"/>
      <c r="D34" s="72"/>
      <c r="E34" s="71"/>
      <c r="F34" s="73" t="s">
        <v>32</v>
      </c>
      <c r="G34" s="74">
        <f>ROUND(G32+G33,2)</f>
        <v>1253.51</v>
      </c>
    </row>
    <row r="37" spans="1:8">
      <c r="B37" s="215" t="s">
        <v>33</v>
      </c>
      <c r="C37" s="215"/>
      <c r="D37" s="215"/>
      <c r="E37" t="s">
        <v>34</v>
      </c>
    </row>
    <row r="38" spans="1:8">
      <c r="C38" s="76"/>
    </row>
    <row r="39" spans="1:8">
      <c r="B39" s="216" t="s">
        <v>35</v>
      </c>
      <c r="C39" s="216"/>
      <c r="D39" s="77"/>
      <c r="E39" t="s">
        <v>42</v>
      </c>
    </row>
    <row r="42" spans="1:8">
      <c r="B42" t="s">
        <v>36</v>
      </c>
      <c r="E42" s="148" t="s">
        <v>99</v>
      </c>
    </row>
  </sheetData>
  <mergeCells count="7">
    <mergeCell ref="B39:C39"/>
    <mergeCell ref="C1:F1"/>
    <mergeCell ref="C2:F2"/>
    <mergeCell ref="A17:D17"/>
    <mergeCell ref="G19:G23"/>
    <mergeCell ref="A26:D26"/>
    <mergeCell ref="B37:D37"/>
  </mergeCells>
  <pageMargins left="0.65" right="0.43" top="1.2916666666666667" bottom="0.59" header="0.24" footer="0.24"/>
  <pageSetup paperSize="9" orientation="portrait" verticalDpi="0" r:id="rId1"/>
  <headerFooter alignWithMargins="0">
    <oddHeader>&amp;L&amp;"Arial Cyr,полужирный"ЗАТВЕРДЖЕНО
Директор ММКП "РБУ"
______________ Діус В.В.
29.03.2021р.&amp;R&amp;"Arial Cyr,полужирный"ПОГОДЖЕНО
Начальник УМГ
______________ Блінов А.Ю.
29.03.2021р.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34"/>
  <sheetViews>
    <sheetView zoomScaleNormal="100" workbookViewId="0">
      <selection activeCell="E8" sqref="E8:H8"/>
    </sheetView>
  </sheetViews>
  <sheetFormatPr defaultRowHeight="12.75"/>
  <cols>
    <col min="1" max="1" width="4.140625" customWidth="1"/>
    <col min="2" max="2" width="6" customWidth="1"/>
    <col min="3" max="3" width="2.42578125" style="1" customWidth="1"/>
    <col min="4" max="4" width="6.42578125" customWidth="1"/>
    <col min="5" max="5" width="34.7109375" customWidth="1"/>
    <col min="6" max="6" width="9" customWidth="1"/>
    <col min="7" max="7" width="10" customWidth="1"/>
    <col min="8" max="8" width="10.140625" customWidth="1"/>
    <col min="9" max="9" width="9.85546875" style="152" customWidth="1"/>
    <col min="10" max="16384" width="9.140625" style="3"/>
  </cols>
  <sheetData>
    <row r="1" spans="1:253" ht="63" customHeight="1">
      <c r="A1" s="1"/>
      <c r="B1" s="2"/>
      <c r="C1" s="2"/>
      <c r="D1" s="2"/>
      <c r="E1" s="205"/>
      <c r="F1" s="205"/>
      <c r="G1" s="205"/>
      <c r="H1" s="205"/>
    </row>
    <row r="2" spans="1:253" ht="63" customHeight="1">
      <c r="A2" s="1"/>
      <c r="B2" s="2"/>
      <c r="C2" s="2"/>
      <c r="D2" s="2"/>
      <c r="E2" s="149"/>
      <c r="F2" s="149"/>
      <c r="G2" s="149"/>
      <c r="H2" s="149"/>
    </row>
    <row r="3" spans="1:253" ht="63" customHeight="1">
      <c r="A3" s="1"/>
      <c r="B3" s="2"/>
      <c r="C3" s="2"/>
      <c r="D3" s="2"/>
      <c r="E3" s="149"/>
      <c r="F3" s="149"/>
      <c r="G3" s="149"/>
      <c r="H3" s="149"/>
    </row>
    <row r="4" spans="1:253" ht="83.25" customHeight="1">
      <c r="A4" s="1"/>
      <c r="B4" s="2"/>
      <c r="C4" s="2"/>
      <c r="D4" s="2"/>
      <c r="E4" s="149"/>
      <c r="F4" s="149"/>
      <c r="G4" s="149"/>
      <c r="H4" s="149"/>
    </row>
    <row r="5" spans="1:253" s="4" customFormat="1" ht="110.25" customHeight="1">
      <c r="B5" s="5"/>
      <c r="C5" s="150"/>
      <c r="D5" s="5"/>
      <c r="E5" s="206"/>
      <c r="F5" s="206"/>
      <c r="G5" s="206"/>
      <c r="H5" s="206"/>
      <c r="I5" s="5"/>
    </row>
    <row r="6" spans="1:253" s="4" customFormat="1" ht="53.25" customHeight="1">
      <c r="B6" s="5"/>
      <c r="C6" s="150"/>
      <c r="D6" s="5"/>
      <c r="E6" s="150"/>
      <c r="F6" s="150"/>
      <c r="G6" s="150"/>
      <c r="H6" s="150"/>
      <c r="I6" s="5"/>
    </row>
    <row r="7" spans="1:253" s="156" customFormat="1" ht="46.5" customHeight="1">
      <c r="A7" s="154"/>
      <c r="B7" s="211" t="s">
        <v>103</v>
      </c>
      <c r="C7" s="212"/>
      <c r="D7" s="213"/>
      <c r="E7" s="214" t="s">
        <v>104</v>
      </c>
      <c r="F7" s="214"/>
      <c r="G7" s="214"/>
      <c r="H7" s="214"/>
      <c r="I7" s="155" t="s">
        <v>105</v>
      </c>
    </row>
    <row r="8" spans="1:253" s="8" customFormat="1" ht="29.25" customHeight="1">
      <c r="A8" s="6"/>
      <c r="B8" s="157">
        <v>0.33333333333333331</v>
      </c>
      <c r="C8" s="158" t="s">
        <v>16</v>
      </c>
      <c r="D8" s="159">
        <f>B8+I8</f>
        <v>0.35416666666666663</v>
      </c>
      <c r="E8" s="209" t="s">
        <v>114</v>
      </c>
      <c r="F8" s="209"/>
      <c r="G8" s="209"/>
      <c r="H8" s="209"/>
      <c r="I8" s="160">
        <v>2.0833333333333332E-2</v>
      </c>
    </row>
    <row r="9" spans="1:253" s="8" customFormat="1" ht="12">
      <c r="A9" s="6"/>
      <c r="B9" s="157">
        <f>D8</f>
        <v>0.35416666666666663</v>
      </c>
      <c r="C9" s="158" t="s">
        <v>16</v>
      </c>
      <c r="D9" s="159">
        <f>B9+I9</f>
        <v>0.5</v>
      </c>
      <c r="E9" s="209" t="s">
        <v>106</v>
      </c>
      <c r="F9" s="209"/>
      <c r="G9" s="209"/>
      <c r="H9" s="209"/>
      <c r="I9" s="160">
        <v>0.14583333333333334</v>
      </c>
    </row>
    <row r="10" spans="1:253" s="8" customFormat="1" ht="12">
      <c r="A10" s="6"/>
      <c r="B10" s="157">
        <f>D9</f>
        <v>0.5</v>
      </c>
      <c r="C10" s="158" t="s">
        <v>16</v>
      </c>
      <c r="D10" s="159">
        <f>B10+I10</f>
        <v>0.54166666666666663</v>
      </c>
      <c r="E10" s="209" t="s">
        <v>107</v>
      </c>
      <c r="F10" s="209"/>
      <c r="G10" s="209"/>
      <c r="H10" s="209"/>
      <c r="I10" s="160">
        <v>4.1666666666666664E-2</v>
      </c>
    </row>
    <row r="11" spans="1:253" s="8" customFormat="1" ht="12">
      <c r="A11" s="6"/>
      <c r="B11" s="157">
        <f>D10</f>
        <v>0.54166666666666663</v>
      </c>
      <c r="C11" s="158" t="s">
        <v>16</v>
      </c>
      <c r="D11" s="159">
        <f>B11+I11</f>
        <v>0.65625</v>
      </c>
      <c r="E11" s="209" t="s">
        <v>106</v>
      </c>
      <c r="F11" s="209"/>
      <c r="G11" s="209"/>
      <c r="H11" s="209"/>
      <c r="I11" s="160">
        <v>0.11458333333333333</v>
      </c>
    </row>
    <row r="12" spans="1:253" s="8" customFormat="1" ht="12" customHeight="1">
      <c r="A12" s="6"/>
      <c r="B12" s="157">
        <f>D11</f>
        <v>0.65625</v>
      </c>
      <c r="C12" s="158" t="s">
        <v>16</v>
      </c>
      <c r="D12" s="159">
        <f>B12+I12</f>
        <v>0.66874999999999996</v>
      </c>
      <c r="E12" s="209" t="s">
        <v>108</v>
      </c>
      <c r="F12" s="209"/>
      <c r="G12" s="209"/>
      <c r="H12" s="209"/>
      <c r="I12" s="160">
        <v>1.2499999999999999E-2</v>
      </c>
    </row>
    <row r="13" spans="1:253" s="8" customFormat="1" ht="12" customHeight="1">
      <c r="A13" s="6"/>
      <c r="B13" s="157"/>
      <c r="C13" s="158"/>
      <c r="D13" s="159"/>
      <c r="E13" s="210" t="s">
        <v>109</v>
      </c>
      <c r="F13" s="210"/>
      <c r="G13" s="210"/>
      <c r="H13" s="210"/>
      <c r="I13" s="160"/>
    </row>
    <row r="14" spans="1:253" s="8" customFormat="1" ht="50.25" customHeight="1">
      <c r="A14" s="6"/>
      <c r="B14" s="161"/>
      <c r="C14" s="162"/>
      <c r="D14" s="161"/>
      <c r="E14" s="163"/>
      <c r="F14" s="163"/>
      <c r="G14" s="163"/>
      <c r="H14" s="163"/>
      <c r="I14" s="164"/>
    </row>
    <row r="15" spans="1:253" ht="25.5">
      <c r="A15" s="165"/>
      <c r="B15" s="165"/>
      <c r="C15" s="165"/>
      <c r="D15" s="165"/>
      <c r="E15" s="166" t="s">
        <v>6</v>
      </c>
      <c r="F15" s="166" t="s">
        <v>7</v>
      </c>
      <c r="G15" s="166" t="s">
        <v>8</v>
      </c>
      <c r="H15" s="167"/>
      <c r="I15" s="165"/>
    </row>
    <row r="16" spans="1:253">
      <c r="A16" s="3"/>
      <c r="B16" s="168"/>
      <c r="C16" s="168"/>
      <c r="D16" s="168"/>
      <c r="E16" s="169" t="s">
        <v>145</v>
      </c>
      <c r="F16" s="170"/>
      <c r="G16" s="171"/>
      <c r="H16" s="18"/>
      <c r="I16" s="172"/>
      <c r="J16" s="18"/>
      <c r="K16" s="18"/>
      <c r="L16" s="18"/>
      <c r="M16" s="19"/>
      <c r="O16" s="20"/>
      <c r="Q16" s="18"/>
      <c r="R16" s="18"/>
      <c r="S16" s="18"/>
      <c r="T16" s="19"/>
      <c r="V16" s="20"/>
      <c r="X16" s="18"/>
      <c r="Y16" s="18"/>
      <c r="Z16" s="18"/>
      <c r="AA16" s="19"/>
      <c r="AC16" s="20"/>
      <c r="AE16" s="18"/>
      <c r="AF16" s="18"/>
      <c r="AG16" s="18"/>
      <c r="AH16" s="19"/>
      <c r="AJ16" s="20"/>
      <c r="AL16" s="18"/>
      <c r="AM16" s="18"/>
      <c r="AN16" s="18"/>
      <c r="AO16" s="19"/>
      <c r="AQ16" s="20"/>
      <c r="AS16" s="18"/>
      <c r="AT16" s="18"/>
      <c r="AU16" s="18"/>
      <c r="AV16" s="19"/>
      <c r="AX16" s="20"/>
      <c r="AZ16" s="18"/>
      <c r="BA16" s="18"/>
      <c r="BB16" s="18"/>
      <c r="BC16" s="19"/>
      <c r="BE16" s="20"/>
      <c r="BG16" s="18"/>
      <c r="BH16" s="18"/>
      <c r="BI16" s="18"/>
      <c r="BJ16" s="19"/>
      <c r="BL16" s="20"/>
      <c r="BN16" s="18"/>
      <c r="BO16" s="18"/>
      <c r="BP16" s="18"/>
      <c r="BQ16" s="19"/>
      <c r="BS16" s="20"/>
      <c r="BU16" s="18"/>
      <c r="BV16" s="18"/>
      <c r="BW16" s="18"/>
      <c r="BX16" s="19"/>
      <c r="BZ16" s="20"/>
      <c r="CB16" s="18"/>
      <c r="CC16" s="18"/>
      <c r="CD16" s="18"/>
      <c r="CE16" s="19"/>
      <c r="CG16" s="20"/>
      <c r="CI16" s="18"/>
      <c r="CJ16" s="18"/>
      <c r="CK16" s="18"/>
      <c r="CL16" s="19"/>
      <c r="CN16" s="20"/>
      <c r="CP16" s="18"/>
      <c r="CQ16" s="18"/>
      <c r="CR16" s="18"/>
      <c r="CS16" s="19"/>
      <c r="CU16" s="20"/>
      <c r="CW16" s="18"/>
      <c r="CX16" s="18"/>
      <c r="CY16" s="18"/>
      <c r="CZ16" s="19"/>
      <c r="DB16" s="20"/>
      <c r="DD16" s="18"/>
      <c r="DE16" s="18"/>
      <c r="DF16" s="18"/>
      <c r="DG16" s="19"/>
      <c r="DI16" s="20"/>
      <c r="DK16" s="18"/>
      <c r="DL16" s="18"/>
      <c r="DM16" s="18"/>
      <c r="DN16" s="19"/>
      <c r="DP16" s="20"/>
      <c r="DR16" s="18"/>
      <c r="DS16" s="18"/>
      <c r="DT16" s="18"/>
      <c r="DU16" s="19"/>
      <c r="DW16" s="20"/>
      <c r="DY16" s="18"/>
      <c r="DZ16" s="18"/>
      <c r="EA16" s="18"/>
      <c r="EB16" s="19"/>
      <c r="ED16" s="20"/>
      <c r="EF16" s="18"/>
      <c r="EG16" s="18"/>
      <c r="EH16" s="18"/>
      <c r="EI16" s="19"/>
      <c r="EK16" s="20"/>
      <c r="EM16" s="18"/>
      <c r="EN16" s="18"/>
      <c r="EO16" s="18"/>
      <c r="EP16" s="19"/>
      <c r="ER16" s="20"/>
      <c r="ET16" s="18"/>
      <c r="EU16" s="18"/>
      <c r="EV16" s="18"/>
      <c r="EW16" s="19"/>
      <c r="EY16" s="20"/>
      <c r="FA16" s="18"/>
      <c r="FB16" s="18"/>
      <c r="FC16" s="18"/>
      <c r="FD16" s="19"/>
      <c r="FF16" s="20"/>
      <c r="FH16" s="18"/>
      <c r="FI16" s="18"/>
      <c r="FJ16" s="18"/>
      <c r="FK16" s="19"/>
      <c r="FM16" s="20"/>
      <c r="FO16" s="18"/>
      <c r="FP16" s="18"/>
      <c r="FQ16" s="18"/>
      <c r="FR16" s="19"/>
      <c r="FT16" s="20"/>
      <c r="FV16" s="18"/>
      <c r="FW16" s="18"/>
      <c r="FX16" s="18"/>
      <c r="FY16" s="19"/>
      <c r="GA16" s="20"/>
      <c r="GC16" s="18"/>
      <c r="GD16" s="18"/>
      <c r="GE16" s="18"/>
      <c r="GF16" s="19"/>
      <c r="GH16" s="20"/>
      <c r="GJ16" s="18"/>
      <c r="GK16" s="18"/>
      <c r="GL16" s="18"/>
      <c r="GM16" s="19"/>
      <c r="GO16" s="20"/>
      <c r="GQ16" s="18"/>
      <c r="GR16" s="18"/>
      <c r="GS16" s="18"/>
      <c r="GT16" s="19"/>
      <c r="GV16" s="20"/>
      <c r="GX16" s="18"/>
      <c r="GY16" s="18"/>
      <c r="GZ16" s="18"/>
      <c r="HA16" s="19"/>
      <c r="HC16" s="20"/>
      <c r="HE16" s="18"/>
      <c r="HF16" s="18"/>
      <c r="HG16" s="18"/>
      <c r="HH16" s="19"/>
      <c r="HJ16" s="20"/>
      <c r="HL16" s="18"/>
      <c r="HM16" s="18"/>
      <c r="HN16" s="18"/>
      <c r="HO16" s="19"/>
      <c r="HQ16" s="20"/>
      <c r="HS16" s="18"/>
      <c r="HT16" s="18"/>
      <c r="HU16" s="18"/>
      <c r="HV16" s="19"/>
      <c r="HX16" s="20"/>
      <c r="HZ16" s="18"/>
      <c r="IA16" s="18"/>
      <c r="IB16" s="18"/>
      <c r="IC16" s="19"/>
      <c r="IE16" s="20"/>
      <c r="IG16" s="18"/>
      <c r="IH16" s="18"/>
      <c r="II16" s="18"/>
      <c r="IJ16" s="19"/>
      <c r="IL16" s="20"/>
      <c r="IN16" s="18"/>
      <c r="IO16" s="18"/>
      <c r="IP16" s="18"/>
      <c r="IQ16" s="19"/>
      <c r="IS16" s="20"/>
    </row>
    <row r="17" spans="1:253">
      <c r="A17" s="172"/>
      <c r="B17" s="172"/>
      <c r="C17" s="172"/>
      <c r="D17" s="172"/>
      <c r="E17" s="28" t="s">
        <v>96</v>
      </c>
      <c r="F17" s="84" t="s">
        <v>97</v>
      </c>
      <c r="G17" s="153">
        <v>1.5</v>
      </c>
      <c r="H17" s="173"/>
      <c r="I17" s="174"/>
    </row>
    <row r="18" spans="1:253">
      <c r="A18" s="172"/>
      <c r="B18" s="172"/>
      <c r="C18" s="172"/>
      <c r="D18" s="172"/>
      <c r="E18" s="28" t="s">
        <v>84</v>
      </c>
      <c r="F18" s="84" t="s">
        <v>61</v>
      </c>
      <c r="G18" s="176">
        <f>0.5*1.2</f>
        <v>0.6</v>
      </c>
      <c r="H18" s="173"/>
      <c r="I18" s="174"/>
    </row>
    <row r="19" spans="1:253">
      <c r="A19" s="172"/>
      <c r="B19" s="172"/>
      <c r="C19" s="172"/>
      <c r="D19" s="172"/>
      <c r="E19" s="90" t="s">
        <v>85</v>
      </c>
      <c r="F19" s="84" t="s">
        <v>61</v>
      </c>
      <c r="G19" s="153">
        <v>0.12</v>
      </c>
      <c r="H19" s="173"/>
      <c r="I19" s="174"/>
    </row>
    <row r="20" spans="1:253">
      <c r="A20" s="172"/>
      <c r="B20" s="172"/>
      <c r="C20" s="172"/>
      <c r="D20" s="172"/>
      <c r="E20" s="90" t="s">
        <v>62</v>
      </c>
      <c r="F20" s="84" t="s">
        <v>61</v>
      </c>
      <c r="G20" s="153">
        <v>0.05</v>
      </c>
      <c r="H20" s="173"/>
      <c r="I20" s="174"/>
    </row>
    <row r="21" spans="1:253">
      <c r="A21" s="172"/>
      <c r="B21" s="172"/>
      <c r="C21" s="172"/>
      <c r="D21" s="172"/>
      <c r="E21" s="90" t="s">
        <v>17</v>
      </c>
      <c r="F21" s="84" t="s">
        <v>15</v>
      </c>
      <c r="G21" s="177">
        <v>2</v>
      </c>
      <c r="H21" s="173"/>
      <c r="I21" s="174"/>
    </row>
    <row r="22" spans="1:253">
      <c r="A22" s="172"/>
      <c r="B22" s="172"/>
      <c r="C22" s="172"/>
      <c r="D22" s="172"/>
      <c r="E22" s="90" t="s">
        <v>19</v>
      </c>
      <c r="F22" s="84" t="s">
        <v>15</v>
      </c>
      <c r="G22" s="177">
        <v>2</v>
      </c>
      <c r="H22" s="173"/>
      <c r="I22" s="174"/>
    </row>
    <row r="23" spans="1:253">
      <c r="A23" s="172"/>
      <c r="B23" s="172"/>
      <c r="C23" s="172"/>
      <c r="D23" s="172"/>
      <c r="E23" s="182" t="s">
        <v>89</v>
      </c>
      <c r="F23" s="84" t="s">
        <v>15</v>
      </c>
      <c r="G23" s="176">
        <v>0.1</v>
      </c>
      <c r="H23" s="173"/>
      <c r="I23" s="174"/>
    </row>
    <row r="24" spans="1:253">
      <c r="A24" s="3"/>
      <c r="B24" s="168"/>
      <c r="C24" s="168"/>
      <c r="D24" s="168"/>
      <c r="E24" s="169" t="s">
        <v>111</v>
      </c>
      <c r="F24" s="170"/>
      <c r="G24" s="171"/>
      <c r="H24" s="18"/>
      <c r="I24" s="172"/>
      <c r="J24" s="18"/>
      <c r="K24" s="18"/>
      <c r="L24" s="18"/>
      <c r="M24" s="19"/>
      <c r="O24" s="20"/>
      <c r="Q24" s="18"/>
      <c r="R24" s="18"/>
      <c r="S24" s="18"/>
      <c r="T24" s="19"/>
      <c r="V24" s="20"/>
      <c r="X24" s="18"/>
      <c r="Y24" s="18"/>
      <c r="Z24" s="18"/>
      <c r="AA24" s="19"/>
      <c r="AC24" s="20"/>
      <c r="AE24" s="18"/>
      <c r="AF24" s="18"/>
      <c r="AG24" s="18"/>
      <c r="AH24" s="19"/>
      <c r="AJ24" s="20"/>
      <c r="AL24" s="18"/>
      <c r="AM24" s="18"/>
      <c r="AN24" s="18"/>
      <c r="AO24" s="19"/>
      <c r="AQ24" s="20"/>
      <c r="AS24" s="18"/>
      <c r="AT24" s="18"/>
      <c r="AU24" s="18"/>
      <c r="AV24" s="19"/>
      <c r="AX24" s="20"/>
      <c r="AZ24" s="18"/>
      <c r="BA24" s="18"/>
      <c r="BB24" s="18"/>
      <c r="BC24" s="19"/>
      <c r="BE24" s="20"/>
      <c r="BG24" s="18"/>
      <c r="BH24" s="18"/>
      <c r="BI24" s="18"/>
      <c r="BJ24" s="19"/>
      <c r="BL24" s="20"/>
      <c r="BN24" s="18"/>
      <c r="BO24" s="18"/>
      <c r="BP24" s="18"/>
      <c r="BQ24" s="19"/>
      <c r="BS24" s="20"/>
      <c r="BU24" s="18"/>
      <c r="BV24" s="18"/>
      <c r="BW24" s="18"/>
      <c r="BX24" s="19"/>
      <c r="BZ24" s="20"/>
      <c r="CB24" s="18"/>
      <c r="CC24" s="18"/>
      <c r="CD24" s="18"/>
      <c r="CE24" s="19"/>
      <c r="CG24" s="20"/>
      <c r="CI24" s="18"/>
      <c r="CJ24" s="18"/>
      <c r="CK24" s="18"/>
      <c r="CL24" s="19"/>
      <c r="CN24" s="20"/>
      <c r="CP24" s="18"/>
      <c r="CQ24" s="18"/>
      <c r="CR24" s="18"/>
      <c r="CS24" s="19"/>
      <c r="CU24" s="20"/>
      <c r="CW24" s="18"/>
      <c r="CX24" s="18"/>
      <c r="CY24" s="18"/>
      <c r="CZ24" s="19"/>
      <c r="DB24" s="20"/>
      <c r="DD24" s="18"/>
      <c r="DE24" s="18"/>
      <c r="DF24" s="18"/>
      <c r="DG24" s="19"/>
      <c r="DI24" s="20"/>
      <c r="DK24" s="18"/>
      <c r="DL24" s="18"/>
      <c r="DM24" s="18"/>
      <c r="DN24" s="19"/>
      <c r="DP24" s="20"/>
      <c r="DR24" s="18"/>
      <c r="DS24" s="18"/>
      <c r="DT24" s="18"/>
      <c r="DU24" s="19"/>
      <c r="DW24" s="20"/>
      <c r="DY24" s="18"/>
      <c r="DZ24" s="18"/>
      <c r="EA24" s="18"/>
      <c r="EB24" s="19"/>
      <c r="ED24" s="20"/>
      <c r="EF24" s="18"/>
      <c r="EG24" s="18"/>
      <c r="EH24" s="18"/>
      <c r="EI24" s="19"/>
      <c r="EK24" s="20"/>
      <c r="EM24" s="18"/>
      <c r="EN24" s="18"/>
      <c r="EO24" s="18"/>
      <c r="EP24" s="19"/>
      <c r="ER24" s="20"/>
      <c r="ET24" s="18"/>
      <c r="EU24" s="18"/>
      <c r="EV24" s="18"/>
      <c r="EW24" s="19"/>
      <c r="EY24" s="20"/>
      <c r="FA24" s="18"/>
      <c r="FB24" s="18"/>
      <c r="FC24" s="18"/>
      <c r="FD24" s="19"/>
      <c r="FF24" s="20"/>
      <c r="FH24" s="18"/>
      <c r="FI24" s="18"/>
      <c r="FJ24" s="18"/>
      <c r="FK24" s="19"/>
      <c r="FM24" s="20"/>
      <c r="FO24" s="18"/>
      <c r="FP24" s="18"/>
      <c r="FQ24" s="18"/>
      <c r="FR24" s="19"/>
      <c r="FT24" s="20"/>
      <c r="FV24" s="18"/>
      <c r="FW24" s="18"/>
      <c r="FX24" s="18"/>
      <c r="FY24" s="19"/>
      <c r="GA24" s="20"/>
      <c r="GC24" s="18"/>
      <c r="GD24" s="18"/>
      <c r="GE24" s="18"/>
      <c r="GF24" s="19"/>
      <c r="GH24" s="20"/>
      <c r="GJ24" s="18"/>
      <c r="GK24" s="18"/>
      <c r="GL24" s="18"/>
      <c r="GM24" s="19"/>
      <c r="GO24" s="20"/>
      <c r="GQ24" s="18"/>
      <c r="GR24" s="18"/>
      <c r="GS24" s="18"/>
      <c r="GT24" s="19"/>
      <c r="GV24" s="20"/>
      <c r="GX24" s="18"/>
      <c r="GY24" s="18"/>
      <c r="GZ24" s="18"/>
      <c r="HA24" s="19"/>
      <c r="HC24" s="20"/>
      <c r="HE24" s="18"/>
      <c r="HF24" s="18"/>
      <c r="HG24" s="18"/>
      <c r="HH24" s="19"/>
      <c r="HJ24" s="20"/>
      <c r="HL24" s="18"/>
      <c r="HM24" s="18"/>
      <c r="HN24" s="18"/>
      <c r="HO24" s="19"/>
      <c r="HQ24" s="20"/>
      <c r="HS24" s="18"/>
      <c r="HT24" s="18"/>
      <c r="HU24" s="18"/>
      <c r="HV24" s="19"/>
      <c r="HX24" s="20"/>
      <c r="HZ24" s="18"/>
      <c r="IA24" s="18"/>
      <c r="IB24" s="18"/>
      <c r="IC24" s="19"/>
      <c r="IE24" s="20"/>
      <c r="IG24" s="18"/>
      <c r="IH24" s="18"/>
      <c r="II24" s="18"/>
      <c r="IJ24" s="19"/>
      <c r="IL24" s="20"/>
      <c r="IN24" s="18"/>
      <c r="IO24" s="18"/>
      <c r="IP24" s="18"/>
      <c r="IQ24" s="19"/>
      <c r="IS24" s="20"/>
    </row>
    <row r="25" spans="1:253" s="178" customFormat="1">
      <c r="E25" s="90" t="s">
        <v>76</v>
      </c>
      <c r="F25" s="84" t="s">
        <v>23</v>
      </c>
      <c r="G25" s="176">
        <v>2.2000000000000002</v>
      </c>
      <c r="H25" s="179"/>
    </row>
    <row r="26" spans="1:253" s="178" customFormat="1">
      <c r="E26" s="90" t="s">
        <v>77</v>
      </c>
      <c r="F26" s="84" t="s">
        <v>23</v>
      </c>
      <c r="G26" s="175">
        <v>0.14399999999999999</v>
      </c>
      <c r="H26" s="179"/>
    </row>
    <row r="27" spans="1:253">
      <c r="A27" s="172"/>
      <c r="B27" s="172"/>
      <c r="C27" s="172"/>
      <c r="D27" s="172"/>
      <c r="E27" s="91" t="s">
        <v>139</v>
      </c>
      <c r="F27" s="127" t="s">
        <v>23</v>
      </c>
      <c r="G27" s="180">
        <f>SUM(G24:G26)</f>
        <v>2.3440000000000003</v>
      </c>
      <c r="H27" s="18"/>
      <c r="I27" s="172"/>
    </row>
    <row r="29" spans="1:253">
      <c r="D29" s="181" t="s">
        <v>112</v>
      </c>
    </row>
    <row r="30" spans="1:253" ht="26.25" customHeight="1">
      <c r="B30" s="76"/>
      <c r="D30" s="76"/>
      <c r="E30" s="76" t="s">
        <v>113</v>
      </c>
      <c r="F30" t="s">
        <v>115</v>
      </c>
    </row>
    <row r="31" spans="1:253" ht="22.5" customHeight="1">
      <c r="B31" s="76"/>
      <c r="D31" s="76"/>
      <c r="E31" s="76" t="s">
        <v>113</v>
      </c>
      <c r="F31" t="s">
        <v>116</v>
      </c>
    </row>
    <row r="32" spans="1:253" ht="22.5" customHeight="1">
      <c r="E32" s="76" t="s">
        <v>113</v>
      </c>
      <c r="F32" t="s">
        <v>42</v>
      </c>
    </row>
    <row r="33" spans="3:253" ht="24.75" customHeight="1">
      <c r="E33" s="76"/>
    </row>
    <row r="34" spans="3:253" customFormat="1">
      <c r="C34" s="1"/>
      <c r="E34" s="76"/>
      <c r="I34" s="15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</sheetData>
  <mergeCells count="10">
    <mergeCell ref="B7:D7"/>
    <mergeCell ref="E7:H7"/>
    <mergeCell ref="E8:H8"/>
    <mergeCell ref="E9:H9"/>
    <mergeCell ref="E10:H10"/>
    <mergeCell ref="E11:H11"/>
    <mergeCell ref="E12:H12"/>
    <mergeCell ref="E13:H13"/>
    <mergeCell ref="E1:H1"/>
    <mergeCell ref="E5:H5"/>
  </mergeCells>
  <pageMargins left="0.65" right="0.43" top="0.32291666666666669" bottom="0.59" header="0.24" footer="0.24"/>
  <pageSetup paperSize="9" scale="88" orientation="portrait" verticalDpi="0" r:id="rId1"/>
  <headerFooter alignWithMargins="0"/>
  <legacyDrawing r:id="rId2"/>
  <oleObjects>
    <oleObject progId="Word.Document.12" shapeId="1025" r:id="rId3"/>
    <oleObject progId="Word.Document.12" shapeId="102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S41"/>
  <sheetViews>
    <sheetView view="pageLayout" topLeftCell="A4" zoomScaleNormal="100" workbookViewId="0">
      <selection activeCell="G33" sqref="G33"/>
    </sheetView>
  </sheetViews>
  <sheetFormatPr defaultRowHeight="12.75"/>
  <cols>
    <col min="1" max="1" width="4.140625" customWidth="1"/>
    <col min="2" max="2" width="11.7109375" customWidth="1"/>
    <col min="3" max="3" width="33.140625" customWidth="1"/>
    <col min="4" max="4" width="7.85546875" customWidth="1"/>
    <col min="5" max="5" width="10" customWidth="1"/>
    <col min="6" max="6" width="10.140625" customWidth="1"/>
    <col min="7" max="7" width="9.85546875" customWidth="1"/>
    <col min="8" max="16384" width="9.140625" style="3"/>
  </cols>
  <sheetData>
    <row r="1" spans="1:253" ht="15.75">
      <c r="A1" s="1"/>
      <c r="B1" s="2"/>
      <c r="C1" s="205" t="s">
        <v>57</v>
      </c>
      <c r="D1" s="205"/>
      <c r="E1" s="205"/>
      <c r="F1" s="205"/>
      <c r="G1" s="1"/>
    </row>
    <row r="2" spans="1:253" s="4" customFormat="1">
      <c r="B2" s="5"/>
      <c r="C2" s="206" t="s">
        <v>58</v>
      </c>
      <c r="D2" s="206"/>
      <c r="E2" s="206"/>
      <c r="F2" s="206"/>
      <c r="G2" s="5"/>
    </row>
    <row r="3" spans="1:253" s="8" customFormat="1" ht="12">
      <c r="A3" s="6"/>
      <c r="B3" s="7" t="s">
        <v>2</v>
      </c>
      <c r="D3" s="6"/>
      <c r="E3" s="7" t="s">
        <v>59</v>
      </c>
      <c r="F3" s="6"/>
      <c r="G3" s="6"/>
    </row>
    <row r="4" spans="1:253" s="8" customFormat="1" ht="12">
      <c r="A4" s="6"/>
      <c r="B4" s="6"/>
      <c r="D4" s="6"/>
      <c r="E4" s="7" t="s">
        <v>60</v>
      </c>
      <c r="F4" s="6"/>
      <c r="G4" s="6"/>
    </row>
    <row r="5" spans="1:253" ht="38.2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</row>
    <row r="6" spans="1:253">
      <c r="A6" s="12"/>
      <c r="B6" s="13"/>
      <c r="C6" s="14" t="s">
        <v>12</v>
      </c>
      <c r="D6" s="13"/>
      <c r="E6" s="15"/>
      <c r="F6" s="15"/>
      <c r="G6" s="17"/>
      <c r="H6" s="20"/>
      <c r="J6" s="18"/>
      <c r="K6" s="18"/>
      <c r="L6" s="18"/>
      <c r="M6" s="19"/>
      <c r="O6" s="20"/>
      <c r="Q6" s="18"/>
      <c r="R6" s="18"/>
      <c r="S6" s="18"/>
      <c r="T6" s="19"/>
      <c r="V6" s="20"/>
      <c r="X6" s="18"/>
      <c r="Y6" s="18"/>
      <c r="Z6" s="18"/>
      <c r="AA6" s="19"/>
      <c r="AC6" s="20"/>
      <c r="AE6" s="18"/>
      <c r="AF6" s="18"/>
      <c r="AG6" s="18"/>
      <c r="AH6" s="19"/>
      <c r="AJ6" s="20"/>
      <c r="AL6" s="18"/>
      <c r="AM6" s="18"/>
      <c r="AN6" s="18"/>
      <c r="AO6" s="19"/>
      <c r="AQ6" s="20"/>
      <c r="AS6" s="18"/>
      <c r="AT6" s="18"/>
      <c r="AU6" s="18"/>
      <c r="AV6" s="19"/>
      <c r="AX6" s="20"/>
      <c r="AZ6" s="18"/>
      <c r="BA6" s="18"/>
      <c r="BB6" s="18"/>
      <c r="BC6" s="19"/>
      <c r="BE6" s="20"/>
      <c r="BG6" s="18"/>
      <c r="BH6" s="18"/>
      <c r="BI6" s="18"/>
      <c r="BJ6" s="19"/>
      <c r="BL6" s="20"/>
      <c r="BN6" s="18"/>
      <c r="BO6" s="18"/>
      <c r="BP6" s="18"/>
      <c r="BQ6" s="19"/>
      <c r="BS6" s="20"/>
      <c r="BU6" s="18"/>
      <c r="BV6" s="18"/>
      <c r="BW6" s="18"/>
      <c r="BX6" s="19"/>
      <c r="BZ6" s="20"/>
      <c r="CB6" s="18"/>
      <c r="CC6" s="18"/>
      <c r="CD6" s="18"/>
      <c r="CE6" s="19"/>
      <c r="CG6" s="20"/>
      <c r="CI6" s="18"/>
      <c r="CJ6" s="18"/>
      <c r="CK6" s="18"/>
      <c r="CL6" s="19"/>
      <c r="CN6" s="20"/>
      <c r="CP6" s="18"/>
      <c r="CQ6" s="18"/>
      <c r="CR6" s="18"/>
      <c r="CS6" s="19"/>
      <c r="CU6" s="20"/>
      <c r="CW6" s="18"/>
      <c r="CX6" s="18"/>
      <c r="CY6" s="18"/>
      <c r="CZ6" s="19"/>
      <c r="DB6" s="20"/>
      <c r="DD6" s="18"/>
      <c r="DE6" s="18"/>
      <c r="DF6" s="18"/>
      <c r="DG6" s="19"/>
      <c r="DI6" s="20"/>
      <c r="DK6" s="18"/>
      <c r="DL6" s="18"/>
      <c r="DM6" s="18"/>
      <c r="DN6" s="19"/>
      <c r="DP6" s="20"/>
      <c r="DR6" s="18"/>
      <c r="DS6" s="18"/>
      <c r="DT6" s="18"/>
      <c r="DU6" s="19"/>
      <c r="DW6" s="20"/>
      <c r="DY6" s="18"/>
      <c r="DZ6" s="18"/>
      <c r="EA6" s="18"/>
      <c r="EB6" s="19"/>
      <c r="ED6" s="20"/>
      <c r="EF6" s="18"/>
      <c r="EG6" s="18"/>
      <c r="EH6" s="18"/>
      <c r="EI6" s="19"/>
      <c r="EK6" s="20"/>
      <c r="EM6" s="18"/>
      <c r="EN6" s="18"/>
      <c r="EO6" s="18"/>
      <c r="EP6" s="19"/>
      <c r="ER6" s="20"/>
      <c r="ET6" s="18"/>
      <c r="EU6" s="18"/>
      <c r="EV6" s="18"/>
      <c r="EW6" s="19"/>
      <c r="EY6" s="20"/>
      <c r="FA6" s="18"/>
      <c r="FB6" s="18"/>
      <c r="FC6" s="18"/>
      <c r="FD6" s="19"/>
      <c r="FF6" s="20"/>
      <c r="FH6" s="18"/>
      <c r="FI6" s="18"/>
      <c r="FJ6" s="18"/>
      <c r="FK6" s="19"/>
      <c r="FM6" s="20"/>
      <c r="FO6" s="18"/>
      <c r="FP6" s="18"/>
      <c r="FQ6" s="18"/>
      <c r="FR6" s="19"/>
      <c r="FT6" s="20"/>
      <c r="FV6" s="18"/>
      <c r="FW6" s="18"/>
      <c r="FX6" s="18"/>
      <c r="FY6" s="19"/>
      <c r="GA6" s="20"/>
      <c r="GC6" s="18"/>
      <c r="GD6" s="18"/>
      <c r="GE6" s="18"/>
      <c r="GF6" s="19"/>
      <c r="GH6" s="20"/>
      <c r="GJ6" s="18"/>
      <c r="GK6" s="18"/>
      <c r="GL6" s="18"/>
      <c r="GM6" s="19"/>
      <c r="GO6" s="20"/>
      <c r="GQ6" s="18"/>
      <c r="GR6" s="18"/>
      <c r="GS6" s="18"/>
      <c r="GT6" s="19"/>
      <c r="GV6" s="20"/>
      <c r="GX6" s="18"/>
      <c r="GY6" s="18"/>
      <c r="GZ6" s="18"/>
      <c r="HA6" s="19"/>
      <c r="HC6" s="20"/>
      <c r="HE6" s="18"/>
      <c r="HF6" s="18"/>
      <c r="HG6" s="18"/>
      <c r="HH6" s="19"/>
      <c r="HJ6" s="20"/>
      <c r="HL6" s="18"/>
      <c r="HM6" s="18"/>
      <c r="HN6" s="18"/>
      <c r="HO6" s="19"/>
      <c r="HQ6" s="20"/>
      <c r="HS6" s="18"/>
      <c r="HT6" s="18"/>
      <c r="HU6" s="18"/>
      <c r="HV6" s="19"/>
      <c r="HX6" s="20"/>
      <c r="HZ6" s="18"/>
      <c r="IA6" s="18"/>
      <c r="IB6" s="18"/>
      <c r="IC6" s="19"/>
      <c r="IE6" s="20"/>
      <c r="IG6" s="18"/>
      <c r="IH6" s="18"/>
      <c r="II6" s="18"/>
      <c r="IJ6" s="19"/>
      <c r="IL6" s="20"/>
      <c r="IN6" s="18"/>
      <c r="IO6" s="18"/>
      <c r="IP6" s="18"/>
      <c r="IQ6" s="19"/>
      <c r="IS6" s="20"/>
    </row>
    <row r="7" spans="1:253">
      <c r="A7" s="26">
        <v>1</v>
      </c>
      <c r="B7" s="27" t="s">
        <v>13</v>
      </c>
      <c r="C7" s="28" t="s">
        <v>157</v>
      </c>
      <c r="D7" s="27" t="s">
        <v>61</v>
      </c>
      <c r="E7" s="29">
        <v>17.399999999999999</v>
      </c>
      <c r="F7" s="101">
        <v>21.45</v>
      </c>
      <c r="G7" s="31">
        <f>ROUND(E7*F7,2)</f>
        <v>373.23</v>
      </c>
    </row>
    <row r="8" spans="1:253">
      <c r="A8" s="81"/>
      <c r="B8" s="82"/>
      <c r="C8" s="83"/>
      <c r="D8" s="84"/>
      <c r="E8" s="85" t="s">
        <v>160</v>
      </c>
      <c r="F8" s="106"/>
      <c r="G8" s="88">
        <f>88.79*E7/1000</f>
        <v>1.5449459999999999</v>
      </c>
    </row>
    <row r="9" spans="1:253">
      <c r="A9" s="32"/>
      <c r="B9" s="33"/>
      <c r="C9" s="34"/>
      <c r="D9" s="35"/>
      <c r="E9" s="36" t="s">
        <v>48</v>
      </c>
      <c r="F9" s="106"/>
      <c r="G9" s="37">
        <f>ROUND((F7+G8)*0.75%,2)</f>
        <v>0.17</v>
      </c>
    </row>
    <row r="10" spans="1:253">
      <c r="A10" s="26">
        <v>2</v>
      </c>
      <c r="B10" s="27" t="s">
        <v>13</v>
      </c>
      <c r="C10" s="28" t="s">
        <v>98</v>
      </c>
      <c r="D10" s="27" t="s">
        <v>97</v>
      </c>
      <c r="E10" s="29">
        <v>0.8</v>
      </c>
      <c r="F10" s="101">
        <v>7.2</v>
      </c>
      <c r="G10" s="31">
        <f>ROUND(E10*F10,2)</f>
        <v>5.76</v>
      </c>
    </row>
    <row r="11" spans="1:253">
      <c r="A11" s="81"/>
      <c r="B11" s="82"/>
      <c r="C11" s="83"/>
      <c r="D11" s="84"/>
      <c r="E11" s="85" t="str">
        <f>E8</f>
        <v xml:space="preserve"> транспортні витрати - 88,79 грн/т</v>
      </c>
      <c r="F11" s="106"/>
      <c r="G11" s="88">
        <f>88.79*E10/1000</f>
        <v>7.1032000000000012E-2</v>
      </c>
    </row>
    <row r="12" spans="1:253">
      <c r="A12" s="32"/>
      <c r="B12" s="33"/>
      <c r="C12" s="34"/>
      <c r="D12" s="35"/>
      <c r="E12" s="36" t="s">
        <v>48</v>
      </c>
      <c r="F12" s="106"/>
      <c r="G12" s="37">
        <f>ROUND((F10+G11)*0.75%,2)</f>
        <v>0.05</v>
      </c>
    </row>
    <row r="13" spans="1:253">
      <c r="A13" s="26">
        <v>3</v>
      </c>
      <c r="B13" s="98" t="s">
        <v>13</v>
      </c>
      <c r="C13" s="99" t="s">
        <v>86</v>
      </c>
      <c r="D13" s="98" t="s">
        <v>61</v>
      </c>
      <c r="E13" s="100">
        <v>0.2</v>
      </c>
      <c r="F13" s="101">
        <v>53.57</v>
      </c>
      <c r="G13" s="102">
        <f>ROUND(E13*F13,2)</f>
        <v>10.71</v>
      </c>
    </row>
    <row r="14" spans="1:253">
      <c r="A14" s="81"/>
      <c r="B14" s="103"/>
      <c r="C14" s="104"/>
      <c r="D14" s="105"/>
      <c r="E14" s="85" t="str">
        <f>E8</f>
        <v xml:space="preserve"> транспортні витрати - 88,79 грн/т</v>
      </c>
      <c r="F14" s="106"/>
      <c r="G14" s="107">
        <f>88.79*E13/1000</f>
        <v>1.7758000000000003E-2</v>
      </c>
    </row>
    <row r="15" spans="1:253">
      <c r="A15" s="32"/>
      <c r="B15" s="108"/>
      <c r="C15" s="109"/>
      <c r="D15" s="110"/>
      <c r="E15" s="111" t="s">
        <v>18</v>
      </c>
      <c r="F15" s="113"/>
      <c r="G15" s="112">
        <f>ROUND((F13+G14)*2%,2)</f>
        <v>1.07</v>
      </c>
    </row>
    <row r="16" spans="1:253">
      <c r="A16" s="26">
        <v>4</v>
      </c>
      <c r="B16" s="27" t="s">
        <v>13</v>
      </c>
      <c r="C16" s="28" t="s">
        <v>62</v>
      </c>
      <c r="D16" s="27" t="s">
        <v>61</v>
      </c>
      <c r="E16" s="29">
        <v>0.1</v>
      </c>
      <c r="F16" s="101">
        <v>45</v>
      </c>
      <c r="G16" s="31">
        <f>ROUND(E16*F16,2)</f>
        <v>4.5</v>
      </c>
    </row>
    <row r="17" spans="1:8">
      <c r="A17" s="81"/>
      <c r="B17" s="82"/>
      <c r="C17" s="83"/>
      <c r="D17" s="84"/>
      <c r="E17" s="85" t="str">
        <f>E8</f>
        <v xml:space="preserve"> транспортні витрати - 88,79 грн/т</v>
      </c>
      <c r="F17" s="106"/>
      <c r="G17" s="88">
        <f>88.79*E16/1000</f>
        <v>8.8790000000000015E-3</v>
      </c>
    </row>
    <row r="18" spans="1:8">
      <c r="A18" s="32"/>
      <c r="B18" s="33"/>
      <c r="C18" s="34"/>
      <c r="D18" s="35"/>
      <c r="E18" s="36" t="s">
        <v>18</v>
      </c>
      <c r="F18" s="106"/>
      <c r="G18" s="37">
        <f>ROUND((F16+G17)*2%,2)</f>
        <v>0.9</v>
      </c>
    </row>
    <row r="19" spans="1:8" s="4" customFormat="1">
      <c r="A19" s="207" t="s">
        <v>20</v>
      </c>
      <c r="B19" s="208"/>
      <c r="C19" s="208"/>
      <c r="D19" s="208"/>
      <c r="E19" s="80"/>
      <c r="F19" s="80"/>
      <c r="G19" s="38">
        <f>ROUND(SUM(G7:G18),2)</f>
        <v>398.03</v>
      </c>
      <c r="H19" s="93"/>
    </row>
    <row r="20" spans="1:8">
      <c r="A20" s="12"/>
      <c r="B20" s="13"/>
      <c r="C20" s="14" t="s">
        <v>21</v>
      </c>
      <c r="D20" s="13"/>
      <c r="E20" s="15"/>
      <c r="F20" s="13"/>
      <c r="G20" s="17"/>
    </row>
    <row r="21" spans="1:8">
      <c r="A21" s="26">
        <v>1</v>
      </c>
      <c r="B21" s="28"/>
      <c r="C21" s="28" t="s">
        <v>63</v>
      </c>
      <c r="D21" s="27" t="s">
        <v>23</v>
      </c>
      <c r="E21" s="43">
        <v>0.48859999999999998</v>
      </c>
      <c r="F21" s="29"/>
      <c r="G21" s="44"/>
    </row>
    <row r="22" spans="1:8">
      <c r="A22" s="94">
        <v>2</v>
      </c>
      <c r="B22" s="90"/>
      <c r="C22" s="90" t="s">
        <v>64</v>
      </c>
      <c r="D22" s="84" t="s">
        <v>23</v>
      </c>
      <c r="E22" s="95">
        <v>0.31140000000000001</v>
      </c>
      <c r="F22" s="92"/>
      <c r="G22" s="96"/>
    </row>
    <row r="23" spans="1:8" s="4" customFormat="1">
      <c r="A23" s="45"/>
      <c r="B23" s="46"/>
      <c r="C23" s="46"/>
      <c r="D23" s="47" t="s">
        <v>24</v>
      </c>
      <c r="E23" s="97">
        <f>SUM(E20:E22)</f>
        <v>0.8</v>
      </c>
      <c r="F23" s="137">
        <f>(66.91+70.52)/2</f>
        <v>68.715000000000003</v>
      </c>
      <c r="G23" s="78">
        <f>E23*F23</f>
        <v>54.972000000000008</v>
      </c>
    </row>
    <row r="24" spans="1:8">
      <c r="A24" s="51"/>
      <c r="B24" s="52"/>
      <c r="C24" s="52"/>
      <c r="D24" s="53" t="s">
        <v>25</v>
      </c>
      <c r="E24" s="54"/>
      <c r="G24" s="56">
        <f>G23*42%</f>
        <v>23.088240000000003</v>
      </c>
    </row>
    <row r="25" spans="1:8" s="4" customFormat="1">
      <c r="A25" s="207" t="s">
        <v>26</v>
      </c>
      <c r="B25" s="208"/>
      <c r="C25" s="208"/>
      <c r="D25" s="208"/>
      <c r="E25" s="80"/>
      <c r="F25" s="80"/>
      <c r="G25" s="38">
        <f>G23+G24</f>
        <v>78.060240000000007</v>
      </c>
      <c r="H25" s="93"/>
    </row>
    <row r="26" spans="1:8" customFormat="1">
      <c r="A26" s="57"/>
      <c r="B26" s="58"/>
      <c r="C26" s="58"/>
      <c r="D26" s="59"/>
      <c r="E26" s="58"/>
      <c r="F26" s="60" t="s">
        <v>41</v>
      </c>
      <c r="G26" s="61">
        <f>ROUND(G19+G25,2)</f>
        <v>476.09</v>
      </c>
      <c r="H26" s="79"/>
    </row>
    <row r="27" spans="1:8" customFormat="1">
      <c r="A27" s="62"/>
      <c r="B27" s="63"/>
      <c r="C27" s="63"/>
      <c r="D27" s="64"/>
      <c r="E27" s="63"/>
      <c r="F27" s="65" t="s">
        <v>27</v>
      </c>
      <c r="G27" s="66">
        <f>(G25)*22%</f>
        <v>17.1732528</v>
      </c>
    </row>
    <row r="28" spans="1:8" customFormat="1">
      <c r="A28" s="62"/>
      <c r="B28" s="63"/>
      <c r="C28" s="63"/>
      <c r="D28" s="64"/>
      <c r="E28" s="63"/>
      <c r="F28" s="65" t="s">
        <v>156</v>
      </c>
      <c r="G28" s="66">
        <f>ROUND(G25*64.6%,2)</f>
        <v>50.43</v>
      </c>
    </row>
    <row r="29" spans="1:8" customFormat="1">
      <c r="A29" s="62"/>
      <c r="B29" s="63"/>
      <c r="C29" s="63"/>
      <c r="D29" s="64"/>
      <c r="E29" s="63"/>
      <c r="F29" s="65" t="s">
        <v>28</v>
      </c>
      <c r="G29" s="66">
        <f>ROUND(G26+G27+G28,2)</f>
        <v>543.69000000000005</v>
      </c>
      <c r="H29" s="3"/>
    </row>
    <row r="30" spans="1:8" customFormat="1">
      <c r="A30" s="62"/>
      <c r="B30" s="63"/>
      <c r="C30" s="63"/>
      <c r="D30" s="63"/>
      <c r="E30" s="63"/>
      <c r="F30" s="65" t="s">
        <v>29</v>
      </c>
      <c r="G30" s="66">
        <f>ROUND(G29*12%,2)</f>
        <v>65.239999999999995</v>
      </c>
      <c r="H30" s="3"/>
    </row>
    <row r="31" spans="1:8" customFormat="1">
      <c r="A31" s="62"/>
      <c r="B31" s="63"/>
      <c r="C31" s="63"/>
      <c r="D31" s="64"/>
      <c r="E31" s="63"/>
      <c r="F31" s="67" t="s">
        <v>30</v>
      </c>
      <c r="G31" s="68">
        <f>ROUND(G29+G30,2)</f>
        <v>608.92999999999995</v>
      </c>
      <c r="H31" s="3"/>
    </row>
    <row r="32" spans="1:8" customFormat="1">
      <c r="A32" s="62"/>
      <c r="B32" s="63"/>
      <c r="C32" s="63"/>
      <c r="D32" s="64"/>
      <c r="E32" s="63"/>
      <c r="F32" s="65" t="s">
        <v>31</v>
      </c>
      <c r="G32" s="66">
        <f>ROUND(G31/5,2)</f>
        <v>121.79</v>
      </c>
      <c r="H32" s="3"/>
    </row>
    <row r="33" spans="1:7">
      <c r="A33" s="70"/>
      <c r="B33" s="71"/>
      <c r="C33" s="71"/>
      <c r="D33" s="72"/>
      <c r="E33" s="71"/>
      <c r="F33" s="73" t="s">
        <v>32</v>
      </c>
      <c r="G33" s="74">
        <f>ROUND(G31+G32,2)</f>
        <v>730.72</v>
      </c>
    </row>
    <row r="36" spans="1:7">
      <c r="B36" s="215" t="s">
        <v>33</v>
      </c>
      <c r="C36" s="215"/>
      <c r="D36" s="215"/>
      <c r="E36" t="s">
        <v>34</v>
      </c>
    </row>
    <row r="37" spans="1:7">
      <c r="C37" s="76"/>
    </row>
    <row r="38" spans="1:7">
      <c r="B38" s="215" t="s">
        <v>35</v>
      </c>
      <c r="C38" s="215"/>
      <c r="D38" s="77"/>
      <c r="E38" t="s">
        <v>42</v>
      </c>
    </row>
    <row r="41" spans="1:7">
      <c r="B41" t="s">
        <v>36</v>
      </c>
      <c r="E41" s="148" t="s">
        <v>99</v>
      </c>
    </row>
  </sheetData>
  <mergeCells count="6">
    <mergeCell ref="B38:C38"/>
    <mergeCell ref="C1:F1"/>
    <mergeCell ref="C2:F2"/>
    <mergeCell ref="A19:D19"/>
    <mergeCell ref="A25:D25"/>
    <mergeCell ref="B36:D36"/>
  </mergeCells>
  <pageMargins left="0.65" right="0.43" top="1.2916666666666667" bottom="0.59" header="0.24" footer="0.24"/>
  <pageSetup paperSize="9" orientation="portrait" verticalDpi="0" r:id="rId1"/>
  <headerFooter alignWithMargins="0">
    <oddHeader>&amp;L&amp;"Arial Cyr,полужирный"ЗАТВЕРДЖЕНО
Директор ММКП "РБУ"
______________ Діус В.В.
29.03.2021р.&amp;R&amp;"Arial Cyr,полужирный"ПОГОДЖЕНО
Начальник УМГ
______________ Блінов А.Ю.
29.03.2021р.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1"/>
  <sheetViews>
    <sheetView zoomScaleNormal="100" workbookViewId="0">
      <selection activeCell="J29" sqref="J29"/>
    </sheetView>
  </sheetViews>
  <sheetFormatPr defaultRowHeight="12.75"/>
  <cols>
    <col min="1" max="1" width="4.140625" customWidth="1"/>
    <col min="2" max="2" width="6" customWidth="1"/>
    <col min="3" max="3" width="2.42578125" style="1" customWidth="1"/>
    <col min="4" max="4" width="6.42578125" customWidth="1"/>
    <col min="5" max="5" width="34.7109375" customWidth="1"/>
    <col min="6" max="6" width="9" customWidth="1"/>
    <col min="7" max="7" width="10" customWidth="1"/>
    <col min="8" max="8" width="10.140625" customWidth="1"/>
    <col min="9" max="9" width="9.85546875" style="152" customWidth="1"/>
    <col min="10" max="16384" width="9.140625" style="3"/>
  </cols>
  <sheetData>
    <row r="1" spans="1:253" ht="63" customHeight="1">
      <c r="A1" s="1"/>
      <c r="B1" s="2"/>
      <c r="C1" s="2"/>
      <c r="D1" s="2"/>
      <c r="E1" s="205"/>
      <c r="F1" s="205"/>
      <c r="G1" s="205"/>
      <c r="H1" s="205"/>
    </row>
    <row r="2" spans="1:253" ht="63" customHeight="1">
      <c r="A2" s="1"/>
      <c r="B2" s="2"/>
      <c r="C2" s="2"/>
      <c r="D2" s="2"/>
      <c r="E2" s="149"/>
      <c r="F2" s="149"/>
      <c r="G2" s="149"/>
      <c r="H2" s="149"/>
    </row>
    <row r="3" spans="1:253" ht="63" customHeight="1">
      <c r="A3" s="1"/>
      <c r="B3" s="2"/>
      <c r="C3" s="2"/>
      <c r="D3" s="2"/>
      <c r="E3" s="149"/>
      <c r="F3" s="149"/>
      <c r="G3" s="149"/>
      <c r="H3" s="149"/>
    </row>
    <row r="4" spans="1:253" ht="83.25" customHeight="1">
      <c r="A4" s="1"/>
      <c r="B4" s="2"/>
      <c r="C4" s="2"/>
      <c r="D4" s="2"/>
      <c r="E4" s="149"/>
      <c r="F4" s="149"/>
      <c r="G4" s="149"/>
      <c r="H4" s="149"/>
    </row>
    <row r="5" spans="1:253" s="4" customFormat="1" ht="105.75" customHeight="1">
      <c r="B5" s="5"/>
      <c r="C5" s="150"/>
      <c r="D5" s="5"/>
      <c r="E5" s="206"/>
      <c r="F5" s="206"/>
      <c r="G5" s="206"/>
      <c r="H5" s="206"/>
      <c r="I5" s="5"/>
    </row>
    <row r="6" spans="1:253" s="4" customFormat="1" ht="57.75" customHeight="1">
      <c r="B6" s="5"/>
      <c r="C6" s="150"/>
      <c r="D6" s="5"/>
      <c r="E6" s="150"/>
      <c r="F6" s="150"/>
      <c r="G6" s="150"/>
      <c r="H6" s="150"/>
      <c r="I6" s="5"/>
    </row>
    <row r="7" spans="1:253" s="156" customFormat="1" ht="27.75" customHeight="1">
      <c r="A7" s="154"/>
      <c r="B7" s="211" t="s">
        <v>103</v>
      </c>
      <c r="C7" s="212"/>
      <c r="D7" s="213"/>
      <c r="E7" s="214" t="s">
        <v>104</v>
      </c>
      <c r="F7" s="214"/>
      <c r="G7" s="214"/>
      <c r="H7" s="214"/>
      <c r="I7" s="155" t="s">
        <v>105</v>
      </c>
    </row>
    <row r="8" spans="1:253" s="8" customFormat="1" ht="38.25" customHeight="1">
      <c r="A8" s="6"/>
      <c r="B8" s="157">
        <v>0.33333333333333331</v>
      </c>
      <c r="C8" s="158" t="s">
        <v>16</v>
      </c>
      <c r="D8" s="159">
        <f>B8+I8</f>
        <v>0.35416666666666663</v>
      </c>
      <c r="E8" s="209" t="s">
        <v>114</v>
      </c>
      <c r="F8" s="209"/>
      <c r="G8" s="209"/>
      <c r="H8" s="209"/>
      <c r="I8" s="160">
        <v>2.0833333333333332E-2</v>
      </c>
    </row>
    <row r="9" spans="1:253" s="8" customFormat="1" ht="12">
      <c r="A9" s="6"/>
      <c r="B9" s="157">
        <f>D8</f>
        <v>0.35416666666666663</v>
      </c>
      <c r="C9" s="158" t="s">
        <v>16</v>
      </c>
      <c r="D9" s="159">
        <f>B9+I9</f>
        <v>0.5</v>
      </c>
      <c r="E9" s="209" t="s">
        <v>117</v>
      </c>
      <c r="F9" s="209"/>
      <c r="G9" s="209"/>
      <c r="H9" s="209"/>
      <c r="I9" s="160">
        <v>0.14583333333333334</v>
      </c>
    </row>
    <row r="10" spans="1:253" s="8" customFormat="1" ht="12">
      <c r="A10" s="6"/>
      <c r="B10" s="157">
        <f>D9</f>
        <v>0.5</v>
      </c>
      <c r="C10" s="158" t="s">
        <v>16</v>
      </c>
      <c r="D10" s="159">
        <f>B10+I10</f>
        <v>0.54166666666666663</v>
      </c>
      <c r="E10" s="209" t="s">
        <v>107</v>
      </c>
      <c r="F10" s="209"/>
      <c r="G10" s="209"/>
      <c r="H10" s="209"/>
      <c r="I10" s="160">
        <v>4.1666666666666664E-2</v>
      </c>
    </row>
    <row r="11" spans="1:253" s="8" customFormat="1" ht="12" customHeight="1">
      <c r="A11" s="6"/>
      <c r="B11" s="157">
        <f>D10</f>
        <v>0.54166666666666663</v>
      </c>
      <c r="C11" s="158" t="s">
        <v>16</v>
      </c>
      <c r="D11" s="159">
        <f>B11+I11</f>
        <v>0.70138888888888884</v>
      </c>
      <c r="E11" s="209" t="s">
        <v>117</v>
      </c>
      <c r="F11" s="209"/>
      <c r="G11" s="209"/>
      <c r="H11" s="209"/>
      <c r="I11" s="160">
        <v>0.15972222222222224</v>
      </c>
    </row>
    <row r="12" spans="1:253" s="8" customFormat="1" ht="12" customHeight="1">
      <c r="A12" s="6"/>
      <c r="B12" s="157">
        <f>D11</f>
        <v>0.70138888888888884</v>
      </c>
      <c r="C12" s="158" t="s">
        <v>16</v>
      </c>
      <c r="D12" s="159">
        <f>B12+I12</f>
        <v>0.70833333333333326</v>
      </c>
      <c r="E12" s="209" t="s">
        <v>108</v>
      </c>
      <c r="F12" s="209"/>
      <c r="G12" s="209"/>
      <c r="H12" s="209"/>
      <c r="I12" s="160">
        <v>6.9444444444444441E-3</v>
      </c>
    </row>
    <row r="13" spans="1:253" s="8" customFormat="1" ht="12" customHeight="1">
      <c r="A13" s="6"/>
      <c r="B13" s="157"/>
      <c r="C13" s="158"/>
      <c r="D13" s="159"/>
      <c r="E13" s="210" t="s">
        <v>118</v>
      </c>
      <c r="F13" s="210"/>
      <c r="G13" s="210"/>
      <c r="H13" s="210"/>
      <c r="I13" s="160"/>
    </row>
    <row r="14" spans="1:253" s="8" customFormat="1" ht="50.25" customHeight="1">
      <c r="A14" s="6"/>
      <c r="B14" s="161"/>
      <c r="C14" s="162"/>
      <c r="D14" s="161"/>
      <c r="E14" s="163"/>
      <c r="F14" s="163"/>
      <c r="G14" s="163"/>
      <c r="H14" s="163"/>
      <c r="I14" s="164"/>
    </row>
    <row r="15" spans="1:253" ht="25.5">
      <c r="A15" s="165"/>
      <c r="B15" s="165"/>
      <c r="C15" s="165"/>
      <c r="D15" s="165"/>
      <c r="E15" s="166" t="s">
        <v>6</v>
      </c>
      <c r="F15" s="166" t="s">
        <v>7</v>
      </c>
      <c r="G15" s="166" t="s">
        <v>8</v>
      </c>
      <c r="H15" s="167"/>
      <c r="I15" s="165"/>
    </row>
    <row r="16" spans="1:253">
      <c r="A16" s="3"/>
      <c r="B16" s="168"/>
      <c r="C16" s="168"/>
      <c r="D16" s="168"/>
      <c r="E16" s="169" t="s">
        <v>145</v>
      </c>
      <c r="F16" s="170"/>
      <c r="G16" s="171"/>
      <c r="H16" s="18"/>
      <c r="I16" s="172"/>
      <c r="J16" s="18"/>
      <c r="K16" s="18"/>
      <c r="L16" s="18"/>
      <c r="M16" s="19"/>
      <c r="O16" s="20"/>
      <c r="Q16" s="18"/>
      <c r="R16" s="18"/>
      <c r="S16" s="18"/>
      <c r="T16" s="19"/>
      <c r="V16" s="20"/>
      <c r="X16" s="18"/>
      <c r="Y16" s="18"/>
      <c r="Z16" s="18"/>
      <c r="AA16" s="19"/>
      <c r="AC16" s="20"/>
      <c r="AE16" s="18"/>
      <c r="AF16" s="18"/>
      <c r="AG16" s="18"/>
      <c r="AH16" s="19"/>
      <c r="AJ16" s="20"/>
      <c r="AL16" s="18"/>
      <c r="AM16" s="18"/>
      <c r="AN16" s="18"/>
      <c r="AO16" s="19"/>
      <c r="AQ16" s="20"/>
      <c r="AS16" s="18"/>
      <c r="AT16" s="18"/>
      <c r="AU16" s="18"/>
      <c r="AV16" s="19"/>
      <c r="AX16" s="20"/>
      <c r="AZ16" s="18"/>
      <c r="BA16" s="18"/>
      <c r="BB16" s="18"/>
      <c r="BC16" s="19"/>
      <c r="BE16" s="20"/>
      <c r="BG16" s="18"/>
      <c r="BH16" s="18"/>
      <c r="BI16" s="18"/>
      <c r="BJ16" s="19"/>
      <c r="BL16" s="20"/>
      <c r="BN16" s="18"/>
      <c r="BO16" s="18"/>
      <c r="BP16" s="18"/>
      <c r="BQ16" s="19"/>
      <c r="BS16" s="20"/>
      <c r="BU16" s="18"/>
      <c r="BV16" s="18"/>
      <c r="BW16" s="18"/>
      <c r="BX16" s="19"/>
      <c r="BZ16" s="20"/>
      <c r="CB16" s="18"/>
      <c r="CC16" s="18"/>
      <c r="CD16" s="18"/>
      <c r="CE16" s="19"/>
      <c r="CG16" s="20"/>
      <c r="CI16" s="18"/>
      <c r="CJ16" s="18"/>
      <c r="CK16" s="18"/>
      <c r="CL16" s="19"/>
      <c r="CN16" s="20"/>
      <c r="CP16" s="18"/>
      <c r="CQ16" s="18"/>
      <c r="CR16" s="18"/>
      <c r="CS16" s="19"/>
      <c r="CU16" s="20"/>
      <c r="CW16" s="18"/>
      <c r="CX16" s="18"/>
      <c r="CY16" s="18"/>
      <c r="CZ16" s="19"/>
      <c r="DB16" s="20"/>
      <c r="DD16" s="18"/>
      <c r="DE16" s="18"/>
      <c r="DF16" s="18"/>
      <c r="DG16" s="19"/>
      <c r="DI16" s="20"/>
      <c r="DK16" s="18"/>
      <c r="DL16" s="18"/>
      <c r="DM16" s="18"/>
      <c r="DN16" s="19"/>
      <c r="DP16" s="20"/>
      <c r="DR16" s="18"/>
      <c r="DS16" s="18"/>
      <c r="DT16" s="18"/>
      <c r="DU16" s="19"/>
      <c r="DW16" s="20"/>
      <c r="DY16" s="18"/>
      <c r="DZ16" s="18"/>
      <c r="EA16" s="18"/>
      <c r="EB16" s="19"/>
      <c r="ED16" s="20"/>
      <c r="EF16" s="18"/>
      <c r="EG16" s="18"/>
      <c r="EH16" s="18"/>
      <c r="EI16" s="19"/>
      <c r="EK16" s="20"/>
      <c r="EM16" s="18"/>
      <c r="EN16" s="18"/>
      <c r="EO16" s="18"/>
      <c r="EP16" s="19"/>
      <c r="ER16" s="20"/>
      <c r="ET16" s="18"/>
      <c r="EU16" s="18"/>
      <c r="EV16" s="18"/>
      <c r="EW16" s="19"/>
      <c r="EY16" s="20"/>
      <c r="FA16" s="18"/>
      <c r="FB16" s="18"/>
      <c r="FC16" s="18"/>
      <c r="FD16" s="19"/>
      <c r="FF16" s="20"/>
      <c r="FH16" s="18"/>
      <c r="FI16" s="18"/>
      <c r="FJ16" s="18"/>
      <c r="FK16" s="19"/>
      <c r="FM16" s="20"/>
      <c r="FO16" s="18"/>
      <c r="FP16" s="18"/>
      <c r="FQ16" s="18"/>
      <c r="FR16" s="19"/>
      <c r="FT16" s="20"/>
      <c r="FV16" s="18"/>
      <c r="FW16" s="18"/>
      <c r="FX16" s="18"/>
      <c r="FY16" s="19"/>
      <c r="GA16" s="20"/>
      <c r="GC16" s="18"/>
      <c r="GD16" s="18"/>
      <c r="GE16" s="18"/>
      <c r="GF16" s="19"/>
      <c r="GH16" s="20"/>
      <c r="GJ16" s="18"/>
      <c r="GK16" s="18"/>
      <c r="GL16" s="18"/>
      <c r="GM16" s="19"/>
      <c r="GO16" s="20"/>
      <c r="GQ16" s="18"/>
      <c r="GR16" s="18"/>
      <c r="GS16" s="18"/>
      <c r="GT16" s="19"/>
      <c r="GV16" s="20"/>
      <c r="GX16" s="18"/>
      <c r="GY16" s="18"/>
      <c r="GZ16" s="18"/>
      <c r="HA16" s="19"/>
      <c r="HC16" s="20"/>
      <c r="HE16" s="18"/>
      <c r="HF16" s="18"/>
      <c r="HG16" s="18"/>
      <c r="HH16" s="19"/>
      <c r="HJ16" s="20"/>
      <c r="HL16" s="18"/>
      <c r="HM16" s="18"/>
      <c r="HN16" s="18"/>
      <c r="HO16" s="19"/>
      <c r="HQ16" s="20"/>
      <c r="HS16" s="18"/>
      <c r="HT16" s="18"/>
      <c r="HU16" s="18"/>
      <c r="HV16" s="19"/>
      <c r="HX16" s="20"/>
      <c r="HZ16" s="18"/>
      <c r="IA16" s="18"/>
      <c r="IB16" s="18"/>
      <c r="IC16" s="19"/>
      <c r="IE16" s="20"/>
      <c r="IG16" s="18"/>
      <c r="IH16" s="18"/>
      <c r="II16" s="18"/>
      <c r="IJ16" s="19"/>
      <c r="IL16" s="20"/>
      <c r="IN16" s="18"/>
      <c r="IO16" s="18"/>
      <c r="IP16" s="18"/>
      <c r="IQ16" s="19"/>
      <c r="IS16" s="20"/>
    </row>
    <row r="17" spans="1:253">
      <c r="A17" s="172"/>
      <c r="B17" s="172"/>
      <c r="C17" s="172"/>
      <c r="D17" s="172"/>
      <c r="E17" s="90" t="s">
        <v>152</v>
      </c>
      <c r="F17" s="84" t="s">
        <v>61</v>
      </c>
      <c r="G17" s="176">
        <v>17.399999999999999</v>
      </c>
      <c r="H17" s="173"/>
      <c r="I17" s="174"/>
    </row>
    <row r="18" spans="1:253">
      <c r="A18" s="172"/>
      <c r="B18" s="172"/>
      <c r="C18" s="172"/>
      <c r="D18" s="172"/>
      <c r="E18" s="90" t="s">
        <v>153</v>
      </c>
      <c r="F18" s="84" t="s">
        <v>61</v>
      </c>
      <c r="G18" s="176">
        <v>0.432</v>
      </c>
      <c r="H18" s="173"/>
      <c r="I18" s="174"/>
    </row>
    <row r="19" spans="1:253">
      <c r="A19" s="172"/>
      <c r="B19" s="172"/>
      <c r="C19" s="172"/>
      <c r="D19" s="172"/>
      <c r="E19" s="90" t="s">
        <v>154</v>
      </c>
      <c r="F19" s="84" t="s">
        <v>61</v>
      </c>
      <c r="G19" s="176">
        <v>0.2</v>
      </c>
      <c r="H19" s="173"/>
      <c r="I19" s="174"/>
    </row>
    <row r="20" spans="1:253">
      <c r="A20" s="172"/>
      <c r="B20" s="172"/>
      <c r="C20" s="172"/>
      <c r="D20" s="172"/>
      <c r="E20" s="90" t="s">
        <v>62</v>
      </c>
      <c r="F20" s="84" t="s">
        <v>61</v>
      </c>
      <c r="G20" s="176">
        <v>0.1</v>
      </c>
      <c r="H20" s="173"/>
      <c r="I20" s="174"/>
    </row>
    <row r="21" spans="1:253">
      <c r="A21" s="3"/>
      <c r="B21" s="168"/>
      <c r="C21" s="168"/>
      <c r="D21" s="168"/>
      <c r="E21" s="169" t="s">
        <v>111</v>
      </c>
      <c r="F21" s="170"/>
      <c r="G21" s="171"/>
      <c r="H21" s="18"/>
      <c r="I21" s="172"/>
      <c r="J21" s="18"/>
      <c r="K21" s="18"/>
      <c r="L21" s="18"/>
      <c r="M21" s="19"/>
      <c r="O21" s="20"/>
      <c r="Q21" s="18"/>
      <c r="R21" s="18"/>
      <c r="S21" s="18"/>
      <c r="T21" s="19"/>
      <c r="V21" s="20"/>
      <c r="X21" s="18"/>
      <c r="Y21" s="18"/>
      <c r="Z21" s="18"/>
      <c r="AA21" s="19"/>
      <c r="AC21" s="20"/>
      <c r="AE21" s="18"/>
      <c r="AF21" s="18"/>
      <c r="AG21" s="18"/>
      <c r="AH21" s="19"/>
      <c r="AJ21" s="20"/>
      <c r="AL21" s="18"/>
      <c r="AM21" s="18"/>
      <c r="AN21" s="18"/>
      <c r="AO21" s="19"/>
      <c r="AQ21" s="20"/>
      <c r="AS21" s="18"/>
      <c r="AT21" s="18"/>
      <c r="AU21" s="18"/>
      <c r="AV21" s="19"/>
      <c r="AX21" s="20"/>
      <c r="AZ21" s="18"/>
      <c r="BA21" s="18"/>
      <c r="BB21" s="18"/>
      <c r="BC21" s="19"/>
      <c r="BE21" s="20"/>
      <c r="BG21" s="18"/>
      <c r="BH21" s="18"/>
      <c r="BI21" s="18"/>
      <c r="BJ21" s="19"/>
      <c r="BL21" s="20"/>
      <c r="BN21" s="18"/>
      <c r="BO21" s="18"/>
      <c r="BP21" s="18"/>
      <c r="BQ21" s="19"/>
      <c r="BS21" s="20"/>
      <c r="BU21" s="18"/>
      <c r="BV21" s="18"/>
      <c r="BW21" s="18"/>
      <c r="BX21" s="19"/>
      <c r="BZ21" s="20"/>
      <c r="CB21" s="18"/>
      <c r="CC21" s="18"/>
      <c r="CD21" s="18"/>
      <c r="CE21" s="19"/>
      <c r="CG21" s="20"/>
      <c r="CI21" s="18"/>
      <c r="CJ21" s="18"/>
      <c r="CK21" s="18"/>
      <c r="CL21" s="19"/>
      <c r="CN21" s="20"/>
      <c r="CP21" s="18"/>
      <c r="CQ21" s="18"/>
      <c r="CR21" s="18"/>
      <c r="CS21" s="19"/>
      <c r="CU21" s="20"/>
      <c r="CW21" s="18"/>
      <c r="CX21" s="18"/>
      <c r="CY21" s="18"/>
      <c r="CZ21" s="19"/>
      <c r="DB21" s="20"/>
      <c r="DD21" s="18"/>
      <c r="DE21" s="18"/>
      <c r="DF21" s="18"/>
      <c r="DG21" s="19"/>
      <c r="DI21" s="20"/>
      <c r="DK21" s="18"/>
      <c r="DL21" s="18"/>
      <c r="DM21" s="18"/>
      <c r="DN21" s="19"/>
      <c r="DP21" s="20"/>
      <c r="DR21" s="18"/>
      <c r="DS21" s="18"/>
      <c r="DT21" s="18"/>
      <c r="DU21" s="19"/>
      <c r="DW21" s="20"/>
      <c r="DY21" s="18"/>
      <c r="DZ21" s="18"/>
      <c r="EA21" s="18"/>
      <c r="EB21" s="19"/>
      <c r="ED21" s="20"/>
      <c r="EF21" s="18"/>
      <c r="EG21" s="18"/>
      <c r="EH21" s="18"/>
      <c r="EI21" s="19"/>
      <c r="EK21" s="20"/>
      <c r="EM21" s="18"/>
      <c r="EN21" s="18"/>
      <c r="EO21" s="18"/>
      <c r="EP21" s="19"/>
      <c r="ER21" s="20"/>
      <c r="ET21" s="18"/>
      <c r="EU21" s="18"/>
      <c r="EV21" s="18"/>
      <c r="EW21" s="19"/>
      <c r="EY21" s="20"/>
      <c r="FA21" s="18"/>
      <c r="FB21" s="18"/>
      <c r="FC21" s="18"/>
      <c r="FD21" s="19"/>
      <c r="FF21" s="20"/>
      <c r="FH21" s="18"/>
      <c r="FI21" s="18"/>
      <c r="FJ21" s="18"/>
      <c r="FK21" s="19"/>
      <c r="FM21" s="20"/>
      <c r="FO21" s="18"/>
      <c r="FP21" s="18"/>
      <c r="FQ21" s="18"/>
      <c r="FR21" s="19"/>
      <c r="FT21" s="20"/>
      <c r="FV21" s="18"/>
      <c r="FW21" s="18"/>
      <c r="FX21" s="18"/>
      <c r="FY21" s="19"/>
      <c r="GA21" s="20"/>
      <c r="GC21" s="18"/>
      <c r="GD21" s="18"/>
      <c r="GE21" s="18"/>
      <c r="GF21" s="19"/>
      <c r="GH21" s="20"/>
      <c r="GJ21" s="18"/>
      <c r="GK21" s="18"/>
      <c r="GL21" s="18"/>
      <c r="GM21" s="19"/>
      <c r="GO21" s="20"/>
      <c r="GQ21" s="18"/>
      <c r="GR21" s="18"/>
      <c r="GS21" s="18"/>
      <c r="GT21" s="19"/>
      <c r="GV21" s="20"/>
      <c r="GX21" s="18"/>
      <c r="GY21" s="18"/>
      <c r="GZ21" s="18"/>
      <c r="HA21" s="19"/>
      <c r="HC21" s="20"/>
      <c r="HE21" s="18"/>
      <c r="HF21" s="18"/>
      <c r="HG21" s="18"/>
      <c r="HH21" s="19"/>
      <c r="HJ21" s="20"/>
      <c r="HL21" s="18"/>
      <c r="HM21" s="18"/>
      <c r="HN21" s="18"/>
      <c r="HO21" s="19"/>
      <c r="HQ21" s="20"/>
      <c r="HS21" s="18"/>
      <c r="HT21" s="18"/>
      <c r="HU21" s="18"/>
      <c r="HV21" s="19"/>
      <c r="HX21" s="20"/>
      <c r="HZ21" s="18"/>
      <c r="IA21" s="18"/>
      <c r="IB21" s="18"/>
      <c r="IC21" s="19"/>
      <c r="IE21" s="20"/>
      <c r="IG21" s="18"/>
      <c r="IH21" s="18"/>
      <c r="II21" s="18"/>
      <c r="IJ21" s="19"/>
      <c r="IL21" s="20"/>
      <c r="IN21" s="18"/>
      <c r="IO21" s="18"/>
      <c r="IP21" s="18"/>
      <c r="IQ21" s="19"/>
      <c r="IS21" s="20"/>
    </row>
    <row r="22" spans="1:253" s="178" customFormat="1">
      <c r="E22" s="90" t="s">
        <v>63</v>
      </c>
      <c r="F22" s="84" t="s">
        <v>23</v>
      </c>
      <c r="G22" s="184">
        <v>0.48859999999999998</v>
      </c>
      <c r="H22" s="179"/>
    </row>
    <row r="23" spans="1:253" s="178" customFormat="1">
      <c r="E23" s="90" t="s">
        <v>64</v>
      </c>
      <c r="F23" s="84" t="s">
        <v>23</v>
      </c>
      <c r="G23" s="184">
        <v>0.31140000000000001</v>
      </c>
      <c r="H23" s="179"/>
    </row>
    <row r="24" spans="1:253">
      <c r="A24" s="172"/>
      <c r="B24" s="172"/>
      <c r="C24" s="172"/>
      <c r="D24" s="172"/>
      <c r="E24" s="91" t="s">
        <v>139</v>
      </c>
      <c r="F24" s="127" t="s">
        <v>23</v>
      </c>
      <c r="G24" s="137">
        <f>SUM(G22:G23)</f>
        <v>0.8</v>
      </c>
      <c r="H24" s="18"/>
      <c r="I24" s="172"/>
    </row>
    <row r="26" spans="1:253">
      <c r="D26" s="181" t="s">
        <v>112</v>
      </c>
    </row>
    <row r="27" spans="1:253" ht="27.75" customHeight="1">
      <c r="B27" s="76"/>
      <c r="D27" s="76"/>
      <c r="E27" s="76" t="s">
        <v>113</v>
      </c>
      <c r="F27" t="s">
        <v>115</v>
      </c>
    </row>
    <row r="28" spans="1:253" ht="21.75" customHeight="1">
      <c r="B28" s="76"/>
      <c r="D28" s="76"/>
      <c r="E28" s="76" t="s">
        <v>113</v>
      </c>
      <c r="F28" t="s">
        <v>116</v>
      </c>
    </row>
    <row r="29" spans="1:253" ht="21.75" customHeight="1">
      <c r="E29" s="76" t="s">
        <v>113</v>
      </c>
      <c r="F29" t="s">
        <v>42</v>
      </c>
    </row>
    <row r="30" spans="1:253" ht="22.5" customHeight="1">
      <c r="E30" s="76"/>
    </row>
    <row r="31" spans="1:253" customFormat="1">
      <c r="C31" s="1"/>
      <c r="E31" s="76"/>
      <c r="I31" s="15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</sheetData>
  <mergeCells count="10">
    <mergeCell ref="B7:D7"/>
    <mergeCell ref="E7:H7"/>
    <mergeCell ref="E8:H8"/>
    <mergeCell ref="E9:H9"/>
    <mergeCell ref="E10:H10"/>
    <mergeCell ref="E11:H11"/>
    <mergeCell ref="E12:H12"/>
    <mergeCell ref="E13:H13"/>
    <mergeCell ref="E1:H1"/>
    <mergeCell ref="E5:H5"/>
  </mergeCells>
  <pageMargins left="0.65" right="0.43" top="0.32291666666666669" bottom="0.59" header="0.24" footer="0.24"/>
  <pageSetup paperSize="9" scale="90" orientation="portrait" verticalDpi="0" r:id="rId1"/>
  <headerFooter alignWithMargins="0"/>
  <legacyDrawing r:id="rId2"/>
  <oleObjects>
    <oleObject progId="Word.Document.12" shapeId="3073" r:id="rId3"/>
    <oleObject progId="Word.Document.12" shapeId="3074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S41"/>
  <sheetViews>
    <sheetView view="pageLayout" zoomScaleNormal="100" workbookViewId="0">
      <selection activeCell="E22" sqref="E22"/>
    </sheetView>
  </sheetViews>
  <sheetFormatPr defaultRowHeight="12.75" outlineLevelCol="1"/>
  <cols>
    <col min="1" max="1" width="4.140625" customWidth="1"/>
    <col min="2" max="2" width="12.42578125" customWidth="1"/>
    <col min="3" max="3" width="34.7109375" customWidth="1"/>
    <col min="4" max="4" width="9" customWidth="1"/>
    <col min="5" max="5" width="10" customWidth="1"/>
    <col min="6" max="6" width="10.140625" customWidth="1"/>
    <col min="7" max="7" width="9.85546875" customWidth="1"/>
    <col min="8" max="8" width="9.140625" style="3" hidden="1" customWidth="1" outlineLevel="1"/>
    <col min="9" max="9" width="9.140625" style="3" collapsed="1"/>
    <col min="10" max="16384" width="9.140625" style="3"/>
  </cols>
  <sheetData>
    <row r="1" spans="1:253" ht="15.75">
      <c r="A1" s="1"/>
      <c r="B1" s="2"/>
      <c r="C1" s="205" t="s">
        <v>43</v>
      </c>
      <c r="D1" s="205"/>
      <c r="E1" s="205"/>
      <c r="F1" s="205"/>
      <c r="G1" s="1"/>
    </row>
    <row r="2" spans="1:253" s="4" customFormat="1">
      <c r="B2" s="5"/>
      <c r="C2" s="206" t="s">
        <v>44</v>
      </c>
      <c r="D2" s="206"/>
      <c r="E2" s="206"/>
      <c r="F2" s="206"/>
      <c r="G2" s="5"/>
    </row>
    <row r="3" spans="1:253" s="8" customFormat="1" ht="12">
      <c r="A3" s="6"/>
      <c r="B3" s="7" t="s">
        <v>2</v>
      </c>
      <c r="D3" s="6"/>
      <c r="E3" s="7" t="s">
        <v>3</v>
      </c>
      <c r="F3" s="6"/>
      <c r="G3" s="6"/>
    </row>
    <row r="4" spans="1:253" ht="25.5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45</v>
      </c>
      <c r="G4" s="9" t="s">
        <v>10</v>
      </c>
      <c r="H4" s="10" t="s">
        <v>11</v>
      </c>
    </row>
    <row r="5" spans="1:253">
      <c r="A5" s="12"/>
      <c r="B5" s="13"/>
      <c r="C5" s="14" t="s">
        <v>12</v>
      </c>
      <c r="D5" s="13"/>
      <c r="E5" s="15"/>
      <c r="F5" s="15"/>
      <c r="G5" s="17"/>
      <c r="H5" s="20"/>
      <c r="J5" s="18"/>
      <c r="K5" s="18"/>
      <c r="L5" s="18"/>
      <c r="M5" s="19"/>
      <c r="O5" s="20"/>
      <c r="Q5" s="18"/>
      <c r="R5" s="18"/>
      <c r="S5" s="18"/>
      <c r="T5" s="19"/>
      <c r="V5" s="20"/>
      <c r="X5" s="18"/>
      <c r="Y5" s="18"/>
      <c r="Z5" s="18"/>
      <c r="AA5" s="19"/>
      <c r="AC5" s="20"/>
      <c r="AE5" s="18"/>
      <c r="AF5" s="18"/>
      <c r="AG5" s="18"/>
      <c r="AH5" s="19"/>
      <c r="AJ5" s="20"/>
      <c r="AL5" s="18"/>
      <c r="AM5" s="18"/>
      <c r="AN5" s="18"/>
      <c r="AO5" s="19"/>
      <c r="AQ5" s="20"/>
      <c r="AS5" s="18"/>
      <c r="AT5" s="18"/>
      <c r="AU5" s="18"/>
      <c r="AV5" s="19"/>
      <c r="AX5" s="20"/>
      <c r="AZ5" s="18"/>
      <c r="BA5" s="18"/>
      <c r="BB5" s="18"/>
      <c r="BC5" s="19"/>
      <c r="BE5" s="20"/>
      <c r="BG5" s="18"/>
      <c r="BH5" s="18"/>
      <c r="BI5" s="18"/>
      <c r="BJ5" s="19"/>
      <c r="BL5" s="20"/>
      <c r="BN5" s="18"/>
      <c r="BO5" s="18"/>
      <c r="BP5" s="18"/>
      <c r="BQ5" s="19"/>
      <c r="BS5" s="20"/>
      <c r="BU5" s="18"/>
      <c r="BV5" s="18"/>
      <c r="BW5" s="18"/>
      <c r="BX5" s="19"/>
      <c r="BZ5" s="20"/>
      <c r="CB5" s="18"/>
      <c r="CC5" s="18"/>
      <c r="CD5" s="18"/>
      <c r="CE5" s="19"/>
      <c r="CG5" s="20"/>
      <c r="CI5" s="18"/>
      <c r="CJ5" s="18"/>
      <c r="CK5" s="18"/>
      <c r="CL5" s="19"/>
      <c r="CN5" s="20"/>
      <c r="CP5" s="18"/>
      <c r="CQ5" s="18"/>
      <c r="CR5" s="18"/>
      <c r="CS5" s="19"/>
      <c r="CU5" s="20"/>
      <c r="CW5" s="18"/>
      <c r="CX5" s="18"/>
      <c r="CY5" s="18"/>
      <c r="CZ5" s="19"/>
      <c r="DB5" s="20"/>
      <c r="DD5" s="18"/>
      <c r="DE5" s="18"/>
      <c r="DF5" s="18"/>
      <c r="DG5" s="19"/>
      <c r="DI5" s="20"/>
      <c r="DK5" s="18"/>
      <c r="DL5" s="18"/>
      <c r="DM5" s="18"/>
      <c r="DN5" s="19"/>
      <c r="DP5" s="20"/>
      <c r="DR5" s="18"/>
      <c r="DS5" s="18"/>
      <c r="DT5" s="18"/>
      <c r="DU5" s="19"/>
      <c r="DW5" s="20"/>
      <c r="DY5" s="18"/>
      <c r="DZ5" s="18"/>
      <c r="EA5" s="18"/>
      <c r="EB5" s="19"/>
      <c r="ED5" s="20"/>
      <c r="EF5" s="18"/>
      <c r="EG5" s="18"/>
      <c r="EH5" s="18"/>
      <c r="EI5" s="19"/>
      <c r="EK5" s="20"/>
      <c r="EM5" s="18"/>
      <c r="EN5" s="18"/>
      <c r="EO5" s="18"/>
      <c r="EP5" s="19"/>
      <c r="ER5" s="20"/>
      <c r="ET5" s="18"/>
      <c r="EU5" s="18"/>
      <c r="EV5" s="18"/>
      <c r="EW5" s="19"/>
      <c r="EY5" s="20"/>
      <c r="FA5" s="18"/>
      <c r="FB5" s="18"/>
      <c r="FC5" s="18"/>
      <c r="FD5" s="19"/>
      <c r="FF5" s="20"/>
      <c r="FH5" s="18"/>
      <c r="FI5" s="18"/>
      <c r="FJ5" s="18"/>
      <c r="FK5" s="19"/>
      <c r="FM5" s="20"/>
      <c r="FO5" s="18"/>
      <c r="FP5" s="18"/>
      <c r="FQ5" s="18"/>
      <c r="FR5" s="19"/>
      <c r="FT5" s="20"/>
      <c r="FV5" s="18"/>
      <c r="FW5" s="18"/>
      <c r="FX5" s="18"/>
      <c r="FY5" s="19"/>
      <c r="GA5" s="20"/>
      <c r="GC5" s="18"/>
      <c r="GD5" s="18"/>
      <c r="GE5" s="18"/>
      <c r="GF5" s="19"/>
      <c r="GH5" s="20"/>
      <c r="GJ5" s="18"/>
      <c r="GK5" s="18"/>
      <c r="GL5" s="18"/>
      <c r="GM5" s="19"/>
      <c r="GO5" s="20"/>
      <c r="GQ5" s="18"/>
      <c r="GR5" s="18"/>
      <c r="GS5" s="18"/>
      <c r="GT5" s="19"/>
      <c r="GV5" s="20"/>
      <c r="GX5" s="18"/>
      <c r="GY5" s="18"/>
      <c r="GZ5" s="18"/>
      <c r="HA5" s="19"/>
      <c r="HC5" s="20"/>
      <c r="HE5" s="18"/>
      <c r="HF5" s="18"/>
      <c r="HG5" s="18"/>
      <c r="HH5" s="19"/>
      <c r="HJ5" s="20"/>
      <c r="HL5" s="18"/>
      <c r="HM5" s="18"/>
      <c r="HN5" s="18"/>
      <c r="HO5" s="19"/>
      <c r="HQ5" s="20"/>
      <c r="HS5" s="18"/>
      <c r="HT5" s="18"/>
      <c r="HU5" s="18"/>
      <c r="HV5" s="19"/>
      <c r="HX5" s="20"/>
      <c r="HZ5" s="18"/>
      <c r="IA5" s="18"/>
      <c r="IB5" s="18"/>
      <c r="IC5" s="19"/>
      <c r="IE5" s="20"/>
      <c r="IG5" s="18"/>
      <c r="IH5" s="18"/>
      <c r="II5" s="18"/>
      <c r="IJ5" s="19"/>
      <c r="IL5" s="20"/>
      <c r="IN5" s="18"/>
      <c r="IO5" s="18"/>
      <c r="IP5" s="18"/>
      <c r="IQ5" s="19"/>
      <c r="IS5" s="20"/>
    </row>
    <row r="6" spans="1:253">
      <c r="A6" s="26">
        <v>1</v>
      </c>
      <c r="B6" s="27" t="s">
        <v>46</v>
      </c>
      <c r="C6" s="28" t="s">
        <v>47</v>
      </c>
      <c r="D6" s="27" t="s">
        <v>15</v>
      </c>
      <c r="E6" s="29">
        <v>1</v>
      </c>
      <c r="F6" s="101">
        <v>543.69000000000005</v>
      </c>
      <c r="G6" s="31">
        <f>E6*F6</f>
        <v>543.69000000000005</v>
      </c>
    </row>
    <row r="7" spans="1:253">
      <c r="A7" s="32"/>
      <c r="B7" s="33"/>
      <c r="C7" s="34"/>
      <c r="D7" s="35"/>
      <c r="E7" s="111" t="s">
        <v>83</v>
      </c>
      <c r="F7" s="106"/>
      <c r="G7" s="37">
        <f>(F6)*0.75%</f>
        <v>4.0776750000000002</v>
      </c>
    </row>
    <row r="8" spans="1:253">
      <c r="A8" s="26">
        <v>2</v>
      </c>
      <c r="B8" s="27" t="s">
        <v>13</v>
      </c>
      <c r="C8" s="28" t="s">
        <v>65</v>
      </c>
      <c r="D8" s="27" t="s">
        <v>49</v>
      </c>
      <c r="E8" s="29">
        <f>0.8*0.096</f>
        <v>7.6800000000000007E-2</v>
      </c>
      <c r="F8" s="101">
        <v>375</v>
      </c>
      <c r="G8" s="31">
        <f>E8*F8</f>
        <v>28.800000000000004</v>
      </c>
    </row>
    <row r="9" spans="1:253">
      <c r="A9" s="81"/>
      <c r="B9" s="82"/>
      <c r="C9" s="83"/>
      <c r="D9" s="84"/>
      <c r="E9" s="87" t="s">
        <v>158</v>
      </c>
      <c r="F9" s="106"/>
      <c r="G9" s="86">
        <f>E8*80.78</f>
        <v>6.2039040000000005</v>
      </c>
    </row>
    <row r="10" spans="1:253">
      <c r="A10" s="32"/>
      <c r="B10" s="33"/>
      <c r="C10" s="34"/>
      <c r="D10" s="35"/>
      <c r="E10" s="36" t="s">
        <v>18</v>
      </c>
      <c r="F10" s="106"/>
      <c r="G10" s="37">
        <f>(F8+G9)*2%</f>
        <v>7.6240780800000003</v>
      </c>
    </row>
    <row r="11" spans="1:253">
      <c r="A11" s="26">
        <v>3</v>
      </c>
      <c r="B11" s="27" t="s">
        <v>13</v>
      </c>
      <c r="C11" s="28" t="s">
        <v>50</v>
      </c>
      <c r="D11" s="27" t="s">
        <v>49</v>
      </c>
      <c r="E11" s="29">
        <f>0.53*0.096</f>
        <v>5.0880000000000002E-2</v>
      </c>
      <c r="F11" s="101">
        <v>483.33</v>
      </c>
      <c r="G11" s="31">
        <f>E11*F11</f>
        <v>24.591830399999999</v>
      </c>
    </row>
    <row r="12" spans="1:253">
      <c r="A12" s="81"/>
      <c r="B12" s="82"/>
      <c r="C12" s="83"/>
      <c r="D12" s="84"/>
      <c r="E12" s="87" t="s">
        <v>95</v>
      </c>
      <c r="F12" s="106"/>
      <c r="G12" s="86">
        <f>E11*34.09</f>
        <v>1.7344992000000001</v>
      </c>
    </row>
    <row r="13" spans="1:253">
      <c r="A13" s="32"/>
      <c r="B13" s="33"/>
      <c r="C13" s="34"/>
      <c r="D13" s="35"/>
      <c r="E13" s="36" t="s">
        <v>18</v>
      </c>
      <c r="F13" s="106"/>
      <c r="G13" s="37">
        <f>(F11+G12)*2%</f>
        <v>9.7012899840000006</v>
      </c>
    </row>
    <row r="14" spans="1:253">
      <c r="A14" s="26">
        <v>4</v>
      </c>
      <c r="B14" s="27" t="s">
        <v>13</v>
      </c>
      <c r="C14" s="28" t="s">
        <v>51</v>
      </c>
      <c r="D14" s="27" t="s">
        <v>52</v>
      </c>
      <c r="E14" s="29">
        <f>0.286*0.096</f>
        <v>2.7455999999999998E-2</v>
      </c>
      <c r="F14" s="101">
        <v>3000</v>
      </c>
      <c r="G14" s="31">
        <f>E14*F14</f>
        <v>82.367999999999995</v>
      </c>
    </row>
    <row r="15" spans="1:253">
      <c r="A15" s="81"/>
      <c r="B15" s="82"/>
      <c r="C15" s="83"/>
      <c r="D15" s="84"/>
      <c r="E15" s="87" t="s">
        <v>161</v>
      </c>
      <c r="F15" s="3"/>
      <c r="G15" s="88">
        <f>88.79*E14</f>
        <v>2.4378182399999999</v>
      </c>
    </row>
    <row r="16" spans="1:253">
      <c r="A16" s="32"/>
      <c r="B16" s="33"/>
      <c r="C16" s="34"/>
      <c r="D16" s="35"/>
      <c r="E16" s="36" t="s">
        <v>18</v>
      </c>
      <c r="F16" s="3"/>
      <c r="G16" s="37">
        <f>(F14+G15)*2%</f>
        <v>60.048756364799999</v>
      </c>
    </row>
    <row r="17" spans="1:8" s="4" customFormat="1">
      <c r="A17" s="207" t="s">
        <v>20</v>
      </c>
      <c r="B17" s="208"/>
      <c r="C17" s="208"/>
      <c r="D17" s="208"/>
      <c r="E17" s="80"/>
      <c r="F17" s="80"/>
      <c r="G17" s="38">
        <f>ROUND(SUM(G6:G7,G8:G10,G11:G13,G14:G16),2)-0.01</f>
        <v>771.27</v>
      </c>
      <c r="H17"/>
    </row>
    <row r="18" spans="1:8">
      <c r="A18" s="12"/>
      <c r="B18" s="13"/>
      <c r="C18" s="14" t="s">
        <v>21</v>
      </c>
      <c r="D18" s="13"/>
      <c r="E18" s="15"/>
      <c r="F18" s="15"/>
      <c r="G18" s="17"/>
    </row>
    <row r="19" spans="1:8" ht="25.5">
      <c r="A19" s="89">
        <v>1</v>
      </c>
      <c r="B19" s="90"/>
      <c r="C19" s="91" t="s">
        <v>53</v>
      </c>
      <c r="D19" s="84" t="s">
        <v>23</v>
      </c>
      <c r="E19" s="92">
        <v>0.77</v>
      </c>
      <c r="G19" s="217"/>
    </row>
    <row r="20" spans="1:8">
      <c r="A20" s="89">
        <v>2</v>
      </c>
      <c r="B20" s="90"/>
      <c r="C20" s="91" t="s">
        <v>54</v>
      </c>
      <c r="D20" s="84" t="s">
        <v>23</v>
      </c>
      <c r="E20" s="92">
        <v>0.42</v>
      </c>
      <c r="G20" s="218"/>
    </row>
    <row r="21" spans="1:8">
      <c r="A21" s="89">
        <v>3</v>
      </c>
      <c r="B21" s="90"/>
      <c r="C21" s="91" t="s">
        <v>55</v>
      </c>
      <c r="D21" s="84" t="s">
        <v>23</v>
      </c>
      <c r="E21" s="92">
        <v>0.25</v>
      </c>
      <c r="G21" s="218"/>
    </row>
    <row r="22" spans="1:8" ht="25.5">
      <c r="A22" s="89">
        <v>4</v>
      </c>
      <c r="B22" s="90"/>
      <c r="C22" s="91" t="s">
        <v>56</v>
      </c>
      <c r="D22" s="84" t="s">
        <v>23</v>
      </c>
      <c r="E22" s="92">
        <v>1.76</v>
      </c>
      <c r="G22" s="219"/>
    </row>
    <row r="23" spans="1:8" s="4" customFormat="1">
      <c r="A23" s="45"/>
      <c r="B23" s="46"/>
      <c r="C23" s="46"/>
      <c r="D23" s="47" t="s">
        <v>24</v>
      </c>
      <c r="E23" s="48">
        <f>SUM(E19:E22)</f>
        <v>3.2</v>
      </c>
      <c r="F23" s="49">
        <v>66.91</v>
      </c>
      <c r="G23" s="50">
        <f>ROUND(E23*F23,2)</f>
        <v>214.11</v>
      </c>
    </row>
    <row r="24" spans="1:8">
      <c r="A24" s="51"/>
      <c r="B24" s="52"/>
      <c r="C24" s="52"/>
      <c r="D24" s="53" t="s">
        <v>25</v>
      </c>
      <c r="E24" s="54"/>
      <c r="F24" s="55"/>
      <c r="G24" s="56">
        <f>G23*42%</f>
        <v>89.926200000000009</v>
      </c>
    </row>
    <row r="25" spans="1:8" s="4" customFormat="1">
      <c r="A25" s="207" t="s">
        <v>26</v>
      </c>
      <c r="B25" s="208"/>
      <c r="C25" s="208"/>
      <c r="D25" s="208"/>
      <c r="E25" s="80"/>
      <c r="F25" s="80"/>
      <c r="G25" s="38">
        <f>ROUND(G23+G24,2)</f>
        <v>304.04000000000002</v>
      </c>
      <c r="H25" s="93"/>
    </row>
    <row r="26" spans="1:8" customFormat="1">
      <c r="A26" s="57"/>
      <c r="B26" s="58"/>
      <c r="C26" s="58"/>
      <c r="D26" s="59"/>
      <c r="E26" s="58"/>
      <c r="F26" s="60" t="s">
        <v>41</v>
      </c>
      <c r="G26" s="61">
        <f>ROUND(G17+G25,2)</f>
        <v>1075.31</v>
      </c>
      <c r="H26" s="79"/>
    </row>
    <row r="27" spans="1:8" customFormat="1">
      <c r="A27" s="62"/>
      <c r="B27" s="63"/>
      <c r="C27" s="63"/>
      <c r="D27" s="64"/>
      <c r="E27" s="63"/>
      <c r="F27" s="65" t="s">
        <v>27</v>
      </c>
      <c r="G27" s="66">
        <f>G25*22%</f>
        <v>66.888800000000003</v>
      </c>
    </row>
    <row r="28" spans="1:8" customFormat="1">
      <c r="A28" s="62"/>
      <c r="B28" s="63"/>
      <c r="C28" s="63"/>
      <c r="D28" s="64"/>
      <c r="E28" s="63"/>
      <c r="F28" s="65" t="s">
        <v>156</v>
      </c>
      <c r="G28" s="66">
        <f>(G25)*64.6%</f>
        <v>196.40983999999997</v>
      </c>
    </row>
    <row r="29" spans="1:8" customFormat="1">
      <c r="A29" s="62"/>
      <c r="B29" s="63"/>
      <c r="C29" s="63"/>
      <c r="D29" s="64"/>
      <c r="E29" s="63"/>
      <c r="F29" s="65" t="s">
        <v>28</v>
      </c>
      <c r="G29" s="66">
        <f>G26+G27+G28</f>
        <v>1338.6086399999999</v>
      </c>
      <c r="H29" s="3"/>
    </row>
    <row r="30" spans="1:8" customFormat="1">
      <c r="A30" s="62"/>
      <c r="B30" s="63"/>
      <c r="C30" s="63"/>
      <c r="D30" s="63"/>
      <c r="E30" s="63"/>
      <c r="F30" s="65" t="s">
        <v>29</v>
      </c>
      <c r="G30" s="66">
        <f>G29*12%</f>
        <v>160.63303679999999</v>
      </c>
      <c r="H30" s="3"/>
    </row>
    <row r="31" spans="1:8" customFormat="1">
      <c r="A31" s="62"/>
      <c r="B31" s="63"/>
      <c r="C31" s="63"/>
      <c r="D31" s="64"/>
      <c r="E31" s="63"/>
      <c r="F31" s="67" t="s">
        <v>30</v>
      </c>
      <c r="G31" s="68">
        <f>ROUND(G29+G30,2)</f>
        <v>1499.24</v>
      </c>
      <c r="H31" s="3"/>
    </row>
    <row r="32" spans="1:8" customFormat="1">
      <c r="A32" s="62"/>
      <c r="B32" s="63"/>
      <c r="C32" s="63"/>
      <c r="D32" s="64"/>
      <c r="E32" s="63"/>
      <c r="F32" s="65" t="s">
        <v>31</v>
      </c>
      <c r="G32" s="66">
        <f>ROUND(G31*20%,2)</f>
        <v>299.85000000000002</v>
      </c>
      <c r="H32" s="3"/>
    </row>
    <row r="33" spans="1:7">
      <c r="A33" s="70"/>
      <c r="B33" s="71"/>
      <c r="C33" s="71"/>
      <c r="D33" s="72"/>
      <c r="E33" s="71"/>
      <c r="F33" s="73" t="s">
        <v>32</v>
      </c>
      <c r="G33" s="74">
        <f>ROUND(G31+G32,2)</f>
        <v>1799.09</v>
      </c>
    </row>
    <row r="36" spans="1:7">
      <c r="B36" s="215" t="s">
        <v>33</v>
      </c>
      <c r="C36" s="215"/>
      <c r="D36" s="215"/>
      <c r="E36" t="s">
        <v>34</v>
      </c>
    </row>
    <row r="37" spans="1:7">
      <c r="C37" s="76"/>
    </row>
    <row r="38" spans="1:7">
      <c r="B38" s="216" t="s">
        <v>35</v>
      </c>
      <c r="C38" s="216"/>
      <c r="D38" s="77"/>
      <c r="E38" t="s">
        <v>42</v>
      </c>
    </row>
    <row r="41" spans="1:7">
      <c r="B41" t="s">
        <v>36</v>
      </c>
      <c r="E41" s="148" t="s">
        <v>99</v>
      </c>
    </row>
  </sheetData>
  <mergeCells count="7">
    <mergeCell ref="B38:C38"/>
    <mergeCell ref="C1:F1"/>
    <mergeCell ref="C2:F2"/>
    <mergeCell ref="A17:D17"/>
    <mergeCell ref="G19:G22"/>
    <mergeCell ref="A25:D25"/>
    <mergeCell ref="B36:D36"/>
  </mergeCells>
  <pageMargins left="0.65" right="0.43" top="1.2916666666666667" bottom="0.59" header="0.24" footer="0.24"/>
  <pageSetup paperSize="9" orientation="portrait" verticalDpi="0" r:id="rId1"/>
  <headerFooter alignWithMargins="0">
    <oddHeader>&amp;L&amp;"Arial Cyr,полужирный"ЗАТВЕРДЖЕНО
Директор ММКП "РБУ"
______________ Діус В.В.
29.03.2021р.&amp;R&amp;"Arial Cyr,полужирный"ПОГОДЖЕНО
Начальник УМГ
______________ Блінов А.Ю.
29.03.2021р.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72"/>
  <sheetViews>
    <sheetView topLeftCell="A31" zoomScaleNormal="100" workbookViewId="0">
      <selection activeCell="N55" sqref="N55"/>
    </sheetView>
  </sheetViews>
  <sheetFormatPr defaultRowHeight="12.75"/>
  <cols>
    <col min="1" max="1" width="4.140625" customWidth="1"/>
    <col min="2" max="2" width="6" customWidth="1"/>
    <col min="3" max="3" width="2.42578125" style="1" customWidth="1"/>
    <col min="4" max="4" width="6.42578125" customWidth="1"/>
    <col min="5" max="5" width="34.7109375" customWidth="1"/>
    <col min="6" max="6" width="9" customWidth="1"/>
    <col min="7" max="7" width="10" customWidth="1"/>
    <col min="8" max="8" width="10.140625" customWidth="1"/>
    <col min="9" max="9" width="9.85546875" style="152" customWidth="1"/>
    <col min="10" max="16384" width="9.140625" style="3"/>
  </cols>
  <sheetData>
    <row r="1" spans="1:9" ht="63" customHeight="1">
      <c r="A1" s="1"/>
      <c r="B1" s="2"/>
      <c r="C1" s="2"/>
      <c r="D1" s="2"/>
      <c r="E1" s="205"/>
      <c r="F1" s="205"/>
      <c r="G1" s="205"/>
      <c r="H1" s="205"/>
    </row>
    <row r="2" spans="1:9" ht="63" customHeight="1">
      <c r="A2" s="1"/>
      <c r="B2" s="2"/>
      <c r="C2" s="2"/>
      <c r="D2" s="2"/>
      <c r="E2" s="149"/>
      <c r="F2" s="149"/>
      <c r="G2" s="149"/>
      <c r="H2" s="149"/>
    </row>
    <row r="3" spans="1:9" ht="63" customHeight="1">
      <c r="A3" s="1"/>
      <c r="B3" s="2"/>
      <c r="C3" s="2"/>
      <c r="D3" s="2"/>
      <c r="E3" s="149"/>
      <c r="F3" s="149"/>
      <c r="G3" s="149"/>
      <c r="H3" s="149"/>
    </row>
    <row r="4" spans="1:9" ht="83.25" customHeight="1">
      <c r="A4" s="1"/>
      <c r="B4" s="2"/>
      <c r="C4" s="2"/>
      <c r="D4" s="2"/>
      <c r="E4" s="149"/>
      <c r="F4" s="149"/>
      <c r="G4" s="149"/>
      <c r="H4" s="149"/>
    </row>
    <row r="5" spans="1:9" s="4" customFormat="1" ht="110.25" customHeight="1">
      <c r="B5" s="5"/>
      <c r="C5" s="150"/>
      <c r="D5" s="5"/>
      <c r="E5" s="206"/>
      <c r="F5" s="206"/>
      <c r="G5" s="206"/>
      <c r="H5" s="206"/>
      <c r="I5" s="5"/>
    </row>
    <row r="6" spans="1:9" s="4" customFormat="1" ht="97.5" customHeight="1">
      <c r="B6" s="5"/>
      <c r="C6" s="150"/>
      <c r="D6" s="5"/>
      <c r="E6" s="150"/>
      <c r="F6" s="150"/>
      <c r="G6" s="150"/>
      <c r="H6" s="150"/>
      <c r="I6" s="5"/>
    </row>
    <row r="7" spans="1:9" s="156" customFormat="1" ht="12">
      <c r="A7" s="154"/>
      <c r="B7" s="211" t="s">
        <v>103</v>
      </c>
      <c r="C7" s="212"/>
      <c r="D7" s="213"/>
      <c r="E7" s="214" t="s">
        <v>104</v>
      </c>
      <c r="F7" s="214"/>
      <c r="G7" s="214"/>
      <c r="H7" s="214"/>
      <c r="I7" s="155" t="s">
        <v>105</v>
      </c>
    </row>
    <row r="8" spans="1:9" s="8" customFormat="1" ht="39" customHeight="1">
      <c r="A8" s="6"/>
      <c r="B8" s="157">
        <v>0.33333333333333331</v>
      </c>
      <c r="C8" s="158" t="s">
        <v>16</v>
      </c>
      <c r="D8" s="159">
        <f>B8+I8</f>
        <v>0.33680555555555552</v>
      </c>
      <c r="E8" s="209" t="s">
        <v>119</v>
      </c>
      <c r="F8" s="209"/>
      <c r="G8" s="209"/>
      <c r="H8" s="209"/>
      <c r="I8" s="160">
        <v>3.472222222222222E-3</v>
      </c>
    </row>
    <row r="9" spans="1:9" s="8" customFormat="1" ht="24.75" customHeight="1">
      <c r="A9" s="6"/>
      <c r="B9" s="157">
        <f>D8</f>
        <v>0.33680555555555552</v>
      </c>
      <c r="C9" s="158" t="s">
        <v>16</v>
      </c>
      <c r="D9" s="159">
        <f t="shared" ref="D9:D51" si="0">B9+I9</f>
        <v>0.35763888888888884</v>
      </c>
      <c r="E9" s="209" t="s">
        <v>120</v>
      </c>
      <c r="F9" s="209"/>
      <c r="G9" s="209"/>
      <c r="H9" s="209"/>
      <c r="I9" s="160">
        <v>2.0833333333333332E-2</v>
      </c>
    </row>
    <row r="10" spans="1:9" s="8" customFormat="1" ht="12">
      <c r="A10" s="6"/>
      <c r="B10" s="157">
        <f t="shared" ref="B10:B51" si="1">D9</f>
        <v>0.35763888888888884</v>
      </c>
      <c r="C10" s="158" t="s">
        <v>16</v>
      </c>
      <c r="D10" s="159">
        <f t="shared" si="0"/>
        <v>0.36111111111111105</v>
      </c>
      <c r="E10" s="209" t="s">
        <v>121</v>
      </c>
      <c r="F10" s="209"/>
      <c r="G10" s="209"/>
      <c r="H10" s="209"/>
      <c r="I10" s="160">
        <v>3.472222222222222E-3</v>
      </c>
    </row>
    <row r="11" spans="1:9" s="8" customFormat="1" ht="12">
      <c r="A11" s="6">
        <v>1</v>
      </c>
      <c r="B11" s="157">
        <f t="shared" si="1"/>
        <v>0.36111111111111105</v>
      </c>
      <c r="C11" s="158" t="s">
        <v>16</v>
      </c>
      <c r="D11" s="159">
        <f t="shared" si="0"/>
        <v>0.36458333333333326</v>
      </c>
      <c r="E11" s="209" t="s">
        <v>122</v>
      </c>
      <c r="F11" s="209"/>
      <c r="G11" s="209"/>
      <c r="H11" s="209"/>
      <c r="I11" s="160">
        <v>3.472222222222222E-3</v>
      </c>
    </row>
    <row r="12" spans="1:9" s="8" customFormat="1" ht="12" customHeight="1">
      <c r="A12" s="6"/>
      <c r="B12" s="157">
        <f t="shared" si="1"/>
        <v>0.36458333333333326</v>
      </c>
      <c r="C12" s="158" t="s">
        <v>16</v>
      </c>
      <c r="D12" s="159">
        <f t="shared" si="0"/>
        <v>0.38194444444444436</v>
      </c>
      <c r="E12" s="209" t="s">
        <v>123</v>
      </c>
      <c r="F12" s="209"/>
      <c r="G12" s="209"/>
      <c r="H12" s="209"/>
      <c r="I12" s="160">
        <v>1.7361111111111112E-2</v>
      </c>
    </row>
    <row r="13" spans="1:9" s="8" customFormat="1" ht="12">
      <c r="A13" s="6"/>
      <c r="B13" s="157">
        <f t="shared" si="1"/>
        <v>0.38194444444444436</v>
      </c>
      <c r="C13" s="158" t="s">
        <v>16</v>
      </c>
      <c r="D13" s="159">
        <f t="shared" si="0"/>
        <v>0.38888888888888878</v>
      </c>
      <c r="E13" s="209" t="s">
        <v>124</v>
      </c>
      <c r="F13" s="209"/>
      <c r="G13" s="209"/>
      <c r="H13" s="209"/>
      <c r="I13" s="160">
        <v>6.9444444444444441E-3</v>
      </c>
    </row>
    <row r="14" spans="1:9" s="8" customFormat="1" ht="12">
      <c r="A14" s="6"/>
      <c r="B14" s="157">
        <f t="shared" si="1"/>
        <v>0.38888888888888878</v>
      </c>
      <c r="C14" s="158" t="s">
        <v>16</v>
      </c>
      <c r="D14" s="159">
        <f t="shared" si="0"/>
        <v>0.40277777777777768</v>
      </c>
      <c r="E14" s="209" t="s">
        <v>125</v>
      </c>
      <c r="F14" s="209"/>
      <c r="G14" s="209"/>
      <c r="H14" s="209"/>
      <c r="I14" s="160">
        <v>1.3888888888888888E-2</v>
      </c>
    </row>
    <row r="15" spans="1:9" s="8" customFormat="1" ht="24.75" customHeight="1">
      <c r="A15" s="6"/>
      <c r="B15" s="157">
        <f t="shared" si="1"/>
        <v>0.40277777777777768</v>
      </c>
      <c r="C15" s="158" t="s">
        <v>16</v>
      </c>
      <c r="D15" s="159">
        <f t="shared" si="0"/>
        <v>0.4097222222222221</v>
      </c>
      <c r="E15" s="209" t="s">
        <v>126</v>
      </c>
      <c r="F15" s="209"/>
      <c r="G15" s="209"/>
      <c r="H15" s="209"/>
      <c r="I15" s="160">
        <v>6.9444444444444441E-3</v>
      </c>
    </row>
    <row r="16" spans="1:9" s="8" customFormat="1" ht="12" customHeight="1">
      <c r="A16" s="6"/>
      <c r="B16" s="157">
        <f t="shared" si="1"/>
        <v>0.4097222222222221</v>
      </c>
      <c r="C16" s="158" t="s">
        <v>16</v>
      </c>
      <c r="D16" s="159">
        <f t="shared" si="0"/>
        <v>0.41319444444444431</v>
      </c>
      <c r="E16" s="209" t="s">
        <v>127</v>
      </c>
      <c r="F16" s="209"/>
      <c r="G16" s="209"/>
      <c r="H16" s="209"/>
      <c r="I16" s="160">
        <v>3.472222222222222E-3</v>
      </c>
    </row>
    <row r="17" spans="1:9" s="8" customFormat="1" ht="12">
      <c r="A17" s="6"/>
      <c r="B17" s="157">
        <f t="shared" si="1"/>
        <v>0.41319444444444431</v>
      </c>
      <c r="C17" s="158" t="s">
        <v>16</v>
      </c>
      <c r="D17" s="159">
        <f t="shared" si="0"/>
        <v>0.41666666666666652</v>
      </c>
      <c r="E17" s="209" t="s">
        <v>128</v>
      </c>
      <c r="F17" s="209"/>
      <c r="G17" s="209"/>
      <c r="H17" s="209"/>
      <c r="I17" s="160">
        <v>3.472222222222222E-3</v>
      </c>
    </row>
    <row r="18" spans="1:9" s="8" customFormat="1" ht="12">
      <c r="A18" s="6">
        <v>2</v>
      </c>
      <c r="B18" s="157">
        <f t="shared" si="1"/>
        <v>0.41666666666666652</v>
      </c>
      <c r="C18" s="158" t="s">
        <v>16</v>
      </c>
      <c r="D18" s="159">
        <f t="shared" si="0"/>
        <v>0.42013888888888873</v>
      </c>
      <c r="E18" s="209" t="s">
        <v>121</v>
      </c>
      <c r="F18" s="209"/>
      <c r="G18" s="209"/>
      <c r="H18" s="209"/>
      <c r="I18" s="160">
        <v>3.472222222222222E-3</v>
      </c>
    </row>
    <row r="19" spans="1:9" s="8" customFormat="1" ht="12">
      <c r="A19" s="6"/>
      <c r="B19" s="157">
        <f t="shared" si="1"/>
        <v>0.42013888888888873</v>
      </c>
      <c r="C19" s="158" t="s">
        <v>16</v>
      </c>
      <c r="D19" s="159">
        <f t="shared" si="0"/>
        <v>0.42361111111111094</v>
      </c>
      <c r="E19" s="209" t="s">
        <v>122</v>
      </c>
      <c r="F19" s="209"/>
      <c r="G19" s="209"/>
      <c r="H19" s="209"/>
      <c r="I19" s="160">
        <v>3.472222222222222E-3</v>
      </c>
    </row>
    <row r="20" spans="1:9" s="8" customFormat="1" ht="12" customHeight="1">
      <c r="A20" s="6"/>
      <c r="B20" s="157">
        <f t="shared" si="1"/>
        <v>0.42361111111111094</v>
      </c>
      <c r="C20" s="158" t="s">
        <v>16</v>
      </c>
      <c r="D20" s="159">
        <f t="shared" si="0"/>
        <v>0.44097222222222204</v>
      </c>
      <c r="E20" s="209" t="s">
        <v>123</v>
      </c>
      <c r="F20" s="209"/>
      <c r="G20" s="209"/>
      <c r="H20" s="209"/>
      <c r="I20" s="160">
        <v>1.7361111111111112E-2</v>
      </c>
    </row>
    <row r="21" spans="1:9" s="8" customFormat="1" ht="12">
      <c r="A21" s="6"/>
      <c r="B21" s="157">
        <f t="shared" si="1"/>
        <v>0.44097222222222204</v>
      </c>
      <c r="C21" s="158" t="s">
        <v>16</v>
      </c>
      <c r="D21" s="159">
        <f t="shared" si="0"/>
        <v>0.44791666666666646</v>
      </c>
      <c r="E21" s="209" t="s">
        <v>124</v>
      </c>
      <c r="F21" s="209"/>
      <c r="G21" s="209"/>
      <c r="H21" s="209"/>
      <c r="I21" s="160">
        <v>6.9444444444444441E-3</v>
      </c>
    </row>
    <row r="22" spans="1:9" s="8" customFormat="1" ht="12">
      <c r="A22" s="6"/>
      <c r="B22" s="157">
        <f t="shared" si="1"/>
        <v>0.44791666666666646</v>
      </c>
      <c r="C22" s="158" t="s">
        <v>16</v>
      </c>
      <c r="D22" s="159">
        <f t="shared" si="0"/>
        <v>0.46180555555555536</v>
      </c>
      <c r="E22" s="209" t="s">
        <v>129</v>
      </c>
      <c r="F22" s="209"/>
      <c r="G22" s="209"/>
      <c r="H22" s="209"/>
      <c r="I22" s="160">
        <v>1.3888888888888888E-2</v>
      </c>
    </row>
    <row r="23" spans="1:9" s="8" customFormat="1" ht="12" customHeight="1">
      <c r="A23" s="6"/>
      <c r="B23" s="157">
        <f t="shared" si="1"/>
        <v>0.46180555555555536</v>
      </c>
      <c r="C23" s="158" t="s">
        <v>16</v>
      </c>
      <c r="D23" s="159">
        <f t="shared" si="0"/>
        <v>0.46874999999999978</v>
      </c>
      <c r="E23" s="209" t="s">
        <v>126</v>
      </c>
      <c r="F23" s="209"/>
      <c r="G23" s="209"/>
      <c r="H23" s="209"/>
      <c r="I23" s="160">
        <v>6.9444444444444441E-3</v>
      </c>
    </row>
    <row r="24" spans="1:9" s="8" customFormat="1" ht="12" customHeight="1">
      <c r="A24" s="6"/>
      <c r="B24" s="157">
        <f t="shared" si="1"/>
        <v>0.46874999999999978</v>
      </c>
      <c r="C24" s="158" t="s">
        <v>16</v>
      </c>
      <c r="D24" s="159">
        <f t="shared" si="0"/>
        <v>0.47222222222222199</v>
      </c>
      <c r="E24" s="209" t="s">
        <v>127</v>
      </c>
      <c r="F24" s="209"/>
      <c r="G24" s="209"/>
      <c r="H24" s="209"/>
      <c r="I24" s="160">
        <v>3.472222222222222E-3</v>
      </c>
    </row>
    <row r="25" spans="1:9" s="8" customFormat="1" ht="12">
      <c r="A25" s="6"/>
      <c r="B25" s="157">
        <f t="shared" si="1"/>
        <v>0.47222222222222199</v>
      </c>
      <c r="C25" s="158" t="s">
        <v>16</v>
      </c>
      <c r="D25" s="159">
        <f t="shared" si="0"/>
        <v>0.4756944444444442</v>
      </c>
      <c r="E25" s="209" t="s">
        <v>128</v>
      </c>
      <c r="F25" s="209"/>
      <c r="G25" s="209"/>
      <c r="H25" s="209"/>
      <c r="I25" s="160">
        <v>3.472222222222222E-3</v>
      </c>
    </row>
    <row r="26" spans="1:9" s="8" customFormat="1" ht="12">
      <c r="A26" s="6"/>
      <c r="B26" s="157">
        <f t="shared" si="1"/>
        <v>0.4756944444444442</v>
      </c>
      <c r="C26" s="158" t="s">
        <v>16</v>
      </c>
      <c r="D26" s="159">
        <f t="shared" si="0"/>
        <v>0.51736111111111083</v>
      </c>
      <c r="E26" s="209" t="s">
        <v>107</v>
      </c>
      <c r="F26" s="209"/>
      <c r="G26" s="209"/>
      <c r="H26" s="209"/>
      <c r="I26" s="160">
        <v>4.1666666666666664E-2</v>
      </c>
    </row>
    <row r="27" spans="1:9" s="8" customFormat="1" ht="12">
      <c r="A27" s="6">
        <v>3</v>
      </c>
      <c r="B27" s="157">
        <f t="shared" si="1"/>
        <v>0.51736111111111083</v>
      </c>
      <c r="C27" s="158" t="s">
        <v>16</v>
      </c>
      <c r="D27" s="159">
        <f t="shared" si="0"/>
        <v>0.52083333333333304</v>
      </c>
      <c r="E27" s="209" t="s">
        <v>121</v>
      </c>
      <c r="F27" s="209"/>
      <c r="G27" s="209"/>
      <c r="H27" s="209"/>
      <c r="I27" s="160">
        <v>3.472222222222222E-3</v>
      </c>
    </row>
    <row r="28" spans="1:9" s="8" customFormat="1" ht="12">
      <c r="A28" s="6"/>
      <c r="B28" s="157">
        <f t="shared" si="1"/>
        <v>0.52083333333333304</v>
      </c>
      <c r="C28" s="158" t="s">
        <v>16</v>
      </c>
      <c r="D28" s="159">
        <f t="shared" si="0"/>
        <v>0.52430555555555525</v>
      </c>
      <c r="E28" s="209" t="s">
        <v>122</v>
      </c>
      <c r="F28" s="209"/>
      <c r="G28" s="209"/>
      <c r="H28" s="209"/>
      <c r="I28" s="160">
        <v>3.472222222222222E-3</v>
      </c>
    </row>
    <row r="29" spans="1:9" s="8" customFormat="1" ht="12" customHeight="1">
      <c r="A29" s="6"/>
      <c r="B29" s="157">
        <f t="shared" si="1"/>
        <v>0.52430555555555525</v>
      </c>
      <c r="C29" s="158" t="s">
        <v>16</v>
      </c>
      <c r="D29" s="159">
        <f t="shared" si="0"/>
        <v>0.54166666666666641</v>
      </c>
      <c r="E29" s="209" t="s">
        <v>123</v>
      </c>
      <c r="F29" s="209"/>
      <c r="G29" s="209"/>
      <c r="H29" s="209"/>
      <c r="I29" s="160">
        <v>1.7361111111111112E-2</v>
      </c>
    </row>
    <row r="30" spans="1:9" s="8" customFormat="1" ht="12">
      <c r="A30" s="6"/>
      <c r="B30" s="157">
        <f t="shared" si="1"/>
        <v>0.54166666666666641</v>
      </c>
      <c r="C30" s="158" t="s">
        <v>16</v>
      </c>
      <c r="D30" s="159">
        <f t="shared" si="0"/>
        <v>0.54861111111111083</v>
      </c>
      <c r="E30" s="209" t="s">
        <v>124</v>
      </c>
      <c r="F30" s="209"/>
      <c r="G30" s="209"/>
      <c r="H30" s="209"/>
      <c r="I30" s="160">
        <v>6.9444444444444441E-3</v>
      </c>
    </row>
    <row r="31" spans="1:9" s="8" customFormat="1" ht="12">
      <c r="A31" s="6"/>
      <c r="B31" s="157">
        <f t="shared" si="1"/>
        <v>0.54861111111111083</v>
      </c>
      <c r="C31" s="158" t="s">
        <v>16</v>
      </c>
      <c r="D31" s="159">
        <f t="shared" si="0"/>
        <v>0.56249999999999967</v>
      </c>
      <c r="E31" s="209" t="s">
        <v>129</v>
      </c>
      <c r="F31" s="209"/>
      <c r="G31" s="209"/>
      <c r="H31" s="209"/>
      <c r="I31" s="160">
        <v>1.3888888888888888E-2</v>
      </c>
    </row>
    <row r="32" spans="1:9" s="8" customFormat="1" ht="12" customHeight="1">
      <c r="A32" s="6"/>
      <c r="B32" s="157">
        <f t="shared" si="1"/>
        <v>0.56249999999999967</v>
      </c>
      <c r="C32" s="158" t="s">
        <v>16</v>
      </c>
      <c r="D32" s="159">
        <f t="shared" si="0"/>
        <v>0.56944444444444409</v>
      </c>
      <c r="E32" s="209" t="s">
        <v>126</v>
      </c>
      <c r="F32" s="209"/>
      <c r="G32" s="209"/>
      <c r="H32" s="209"/>
      <c r="I32" s="160">
        <v>6.9444444444444441E-3</v>
      </c>
    </row>
    <row r="33" spans="1:9" s="8" customFormat="1" ht="12" customHeight="1">
      <c r="A33" s="6"/>
      <c r="B33" s="157">
        <f t="shared" si="1"/>
        <v>0.56944444444444409</v>
      </c>
      <c r="C33" s="158" t="s">
        <v>16</v>
      </c>
      <c r="D33" s="159">
        <f t="shared" si="0"/>
        <v>0.5729166666666663</v>
      </c>
      <c r="E33" s="209" t="s">
        <v>127</v>
      </c>
      <c r="F33" s="209"/>
      <c r="G33" s="209"/>
      <c r="H33" s="209"/>
      <c r="I33" s="160">
        <v>3.472222222222222E-3</v>
      </c>
    </row>
    <row r="34" spans="1:9" s="8" customFormat="1" ht="12">
      <c r="A34" s="6"/>
      <c r="B34" s="157">
        <f t="shared" si="1"/>
        <v>0.5729166666666663</v>
      </c>
      <c r="C34" s="158" t="s">
        <v>16</v>
      </c>
      <c r="D34" s="159">
        <f t="shared" si="0"/>
        <v>0.57638888888888851</v>
      </c>
      <c r="E34" s="209" t="s">
        <v>128</v>
      </c>
      <c r="F34" s="209"/>
      <c r="G34" s="209"/>
      <c r="H34" s="209"/>
      <c r="I34" s="160">
        <v>3.472222222222222E-3</v>
      </c>
    </row>
    <row r="35" spans="1:9" s="8" customFormat="1" ht="12">
      <c r="A35" s="6">
        <v>4</v>
      </c>
      <c r="B35" s="157">
        <f t="shared" si="1"/>
        <v>0.57638888888888851</v>
      </c>
      <c r="C35" s="158" t="s">
        <v>16</v>
      </c>
      <c r="D35" s="159">
        <f t="shared" si="0"/>
        <v>0.57986111111111072</v>
      </c>
      <c r="E35" s="209" t="s">
        <v>121</v>
      </c>
      <c r="F35" s="209"/>
      <c r="G35" s="209"/>
      <c r="H35" s="209"/>
      <c r="I35" s="160">
        <v>3.472222222222222E-3</v>
      </c>
    </row>
    <row r="36" spans="1:9" s="8" customFormat="1" ht="12">
      <c r="A36" s="6"/>
      <c r="B36" s="157">
        <f t="shared" si="1"/>
        <v>0.57986111111111072</v>
      </c>
      <c r="C36" s="158" t="s">
        <v>16</v>
      </c>
      <c r="D36" s="159">
        <f t="shared" si="0"/>
        <v>0.58333333333333293</v>
      </c>
      <c r="E36" s="209" t="s">
        <v>122</v>
      </c>
      <c r="F36" s="209"/>
      <c r="G36" s="209"/>
      <c r="H36" s="209"/>
      <c r="I36" s="160">
        <v>3.472222222222222E-3</v>
      </c>
    </row>
    <row r="37" spans="1:9" s="8" customFormat="1" ht="12" customHeight="1">
      <c r="A37" s="6"/>
      <c r="B37" s="157">
        <f t="shared" si="1"/>
        <v>0.58333333333333293</v>
      </c>
      <c r="C37" s="158" t="s">
        <v>16</v>
      </c>
      <c r="D37" s="159">
        <f t="shared" si="0"/>
        <v>0.60069444444444409</v>
      </c>
      <c r="E37" s="209" t="s">
        <v>123</v>
      </c>
      <c r="F37" s="209"/>
      <c r="G37" s="209"/>
      <c r="H37" s="209"/>
      <c r="I37" s="160">
        <v>1.7361111111111112E-2</v>
      </c>
    </row>
    <row r="38" spans="1:9" s="8" customFormat="1" ht="12">
      <c r="A38" s="6"/>
      <c r="B38" s="157">
        <f t="shared" si="1"/>
        <v>0.60069444444444409</v>
      </c>
      <c r="C38" s="158" t="s">
        <v>16</v>
      </c>
      <c r="D38" s="159">
        <f t="shared" si="0"/>
        <v>0.60763888888888851</v>
      </c>
      <c r="E38" s="209" t="s">
        <v>124</v>
      </c>
      <c r="F38" s="209"/>
      <c r="G38" s="209"/>
      <c r="H38" s="209"/>
      <c r="I38" s="160">
        <v>6.9444444444444441E-3</v>
      </c>
    </row>
    <row r="39" spans="1:9" s="8" customFormat="1" ht="12">
      <c r="A39" s="6"/>
      <c r="B39" s="157">
        <f t="shared" si="1"/>
        <v>0.60763888888888851</v>
      </c>
      <c r="C39" s="158" t="s">
        <v>16</v>
      </c>
      <c r="D39" s="159">
        <f t="shared" si="0"/>
        <v>0.62152777777777735</v>
      </c>
      <c r="E39" s="209" t="s">
        <v>129</v>
      </c>
      <c r="F39" s="209"/>
      <c r="G39" s="209"/>
      <c r="H39" s="209"/>
      <c r="I39" s="160">
        <v>1.3888888888888888E-2</v>
      </c>
    </row>
    <row r="40" spans="1:9" s="8" customFormat="1" ht="12" customHeight="1">
      <c r="A40" s="6"/>
      <c r="B40" s="157">
        <f t="shared" si="1"/>
        <v>0.62152777777777735</v>
      </c>
      <c r="C40" s="158" t="s">
        <v>16</v>
      </c>
      <c r="D40" s="159">
        <f t="shared" si="0"/>
        <v>0.62847222222222177</v>
      </c>
      <c r="E40" s="209" t="s">
        <v>126</v>
      </c>
      <c r="F40" s="209"/>
      <c r="G40" s="209"/>
      <c r="H40" s="209"/>
      <c r="I40" s="160">
        <v>6.9444444444444441E-3</v>
      </c>
    </row>
    <row r="41" spans="1:9" s="8" customFormat="1" ht="12" customHeight="1">
      <c r="A41" s="6"/>
      <c r="B41" s="157">
        <f t="shared" si="1"/>
        <v>0.62847222222222177</v>
      </c>
      <c r="C41" s="158" t="s">
        <v>16</v>
      </c>
      <c r="D41" s="159">
        <f t="shared" si="0"/>
        <v>0.63194444444444398</v>
      </c>
      <c r="E41" s="209" t="s">
        <v>127</v>
      </c>
      <c r="F41" s="209"/>
      <c r="G41" s="209"/>
      <c r="H41" s="209"/>
      <c r="I41" s="160">
        <v>3.472222222222222E-3</v>
      </c>
    </row>
    <row r="42" spans="1:9" s="8" customFormat="1" ht="12">
      <c r="A42" s="6"/>
      <c r="B42" s="157">
        <f t="shared" si="1"/>
        <v>0.63194444444444398</v>
      </c>
      <c r="C42" s="158" t="s">
        <v>16</v>
      </c>
      <c r="D42" s="159">
        <f t="shared" si="0"/>
        <v>0.63541666666666619</v>
      </c>
      <c r="E42" s="209" t="s">
        <v>128</v>
      </c>
      <c r="F42" s="209"/>
      <c r="G42" s="209"/>
      <c r="H42" s="209"/>
      <c r="I42" s="160">
        <v>3.472222222222222E-3</v>
      </c>
    </row>
    <row r="43" spans="1:9" s="8" customFormat="1" ht="12">
      <c r="A43" s="6">
        <v>5</v>
      </c>
      <c r="B43" s="157">
        <f t="shared" si="1"/>
        <v>0.63541666666666619</v>
      </c>
      <c r="C43" s="158" t="s">
        <v>16</v>
      </c>
      <c r="D43" s="159">
        <f t="shared" si="0"/>
        <v>0.6388888888888884</v>
      </c>
      <c r="E43" s="209" t="s">
        <v>121</v>
      </c>
      <c r="F43" s="209"/>
      <c r="G43" s="209"/>
      <c r="H43" s="209"/>
      <c r="I43" s="160">
        <v>3.472222222222222E-3</v>
      </c>
    </row>
    <row r="44" spans="1:9" s="8" customFormat="1" ht="12">
      <c r="A44" s="6"/>
      <c r="B44" s="157">
        <f t="shared" si="1"/>
        <v>0.6388888888888884</v>
      </c>
      <c r="C44" s="158" t="s">
        <v>16</v>
      </c>
      <c r="D44" s="159">
        <f t="shared" si="0"/>
        <v>0.64236111111111061</v>
      </c>
      <c r="E44" s="209" t="s">
        <v>122</v>
      </c>
      <c r="F44" s="209"/>
      <c r="G44" s="209"/>
      <c r="H44" s="209"/>
      <c r="I44" s="160">
        <v>3.472222222222222E-3</v>
      </c>
    </row>
    <row r="45" spans="1:9" s="8" customFormat="1" ht="12" customHeight="1">
      <c r="A45" s="6"/>
      <c r="B45" s="157">
        <f t="shared" si="1"/>
        <v>0.64236111111111061</v>
      </c>
      <c r="C45" s="158" t="s">
        <v>16</v>
      </c>
      <c r="D45" s="159">
        <f t="shared" si="0"/>
        <v>0.65972222222222177</v>
      </c>
      <c r="E45" s="209" t="s">
        <v>123</v>
      </c>
      <c r="F45" s="209"/>
      <c r="G45" s="209"/>
      <c r="H45" s="209"/>
      <c r="I45" s="160">
        <v>1.7361111111111112E-2</v>
      </c>
    </row>
    <row r="46" spans="1:9" s="8" customFormat="1" ht="12">
      <c r="A46" s="6"/>
      <c r="B46" s="157">
        <f t="shared" si="1"/>
        <v>0.65972222222222177</v>
      </c>
      <c r="C46" s="158" t="s">
        <v>16</v>
      </c>
      <c r="D46" s="159">
        <f t="shared" si="0"/>
        <v>0.66666666666666619</v>
      </c>
      <c r="E46" s="209" t="s">
        <v>124</v>
      </c>
      <c r="F46" s="209"/>
      <c r="G46" s="209"/>
      <c r="H46" s="209"/>
      <c r="I46" s="160">
        <v>6.9444444444444441E-3</v>
      </c>
    </row>
    <row r="47" spans="1:9" s="8" customFormat="1" ht="12">
      <c r="A47" s="6"/>
      <c r="B47" s="157">
        <f t="shared" si="1"/>
        <v>0.66666666666666619</v>
      </c>
      <c r="C47" s="158" t="s">
        <v>16</v>
      </c>
      <c r="D47" s="159">
        <f t="shared" si="0"/>
        <v>0.68055555555555503</v>
      </c>
      <c r="E47" s="209" t="s">
        <v>129</v>
      </c>
      <c r="F47" s="209"/>
      <c r="G47" s="209"/>
      <c r="H47" s="209"/>
      <c r="I47" s="160">
        <v>1.3888888888888888E-2</v>
      </c>
    </row>
    <row r="48" spans="1:9" s="8" customFormat="1" ht="12" customHeight="1">
      <c r="A48" s="6"/>
      <c r="B48" s="157">
        <f t="shared" si="1"/>
        <v>0.68055555555555503</v>
      </c>
      <c r="C48" s="158" t="s">
        <v>16</v>
      </c>
      <c r="D48" s="159">
        <f t="shared" si="0"/>
        <v>0.68749999999999944</v>
      </c>
      <c r="E48" s="209" t="s">
        <v>126</v>
      </c>
      <c r="F48" s="209"/>
      <c r="G48" s="209"/>
      <c r="H48" s="209"/>
      <c r="I48" s="160">
        <v>6.9444444444444441E-3</v>
      </c>
    </row>
    <row r="49" spans="1:253" s="8" customFormat="1" ht="12" customHeight="1">
      <c r="A49" s="6"/>
      <c r="B49" s="157">
        <f t="shared" si="1"/>
        <v>0.68749999999999944</v>
      </c>
      <c r="C49" s="158" t="s">
        <v>16</v>
      </c>
      <c r="D49" s="159">
        <f t="shared" si="0"/>
        <v>0.69097222222222165</v>
      </c>
      <c r="E49" s="209" t="s">
        <v>127</v>
      </c>
      <c r="F49" s="209"/>
      <c r="G49" s="209"/>
      <c r="H49" s="209"/>
      <c r="I49" s="160">
        <v>3.472222222222222E-3</v>
      </c>
    </row>
    <row r="50" spans="1:253" s="8" customFormat="1" ht="12">
      <c r="A50" s="6"/>
      <c r="B50" s="157">
        <f t="shared" si="1"/>
        <v>0.69097222222222165</v>
      </c>
      <c r="C50" s="158" t="s">
        <v>16</v>
      </c>
      <c r="D50" s="159">
        <f t="shared" si="0"/>
        <v>0.69444444444444386</v>
      </c>
      <c r="E50" s="209" t="s">
        <v>128</v>
      </c>
      <c r="F50" s="209"/>
      <c r="G50" s="209"/>
      <c r="H50" s="209"/>
      <c r="I50" s="160">
        <v>3.472222222222222E-3</v>
      </c>
    </row>
    <row r="51" spans="1:253" s="8" customFormat="1" ht="12">
      <c r="A51" s="6"/>
      <c r="B51" s="157">
        <f t="shared" si="1"/>
        <v>0.69444444444444386</v>
      </c>
      <c r="C51" s="158" t="s">
        <v>16</v>
      </c>
      <c r="D51" s="159">
        <f t="shared" si="0"/>
        <v>0.7083333333333327</v>
      </c>
      <c r="E51" s="221" t="s">
        <v>130</v>
      </c>
      <c r="F51" s="221"/>
      <c r="G51" s="221"/>
      <c r="H51" s="221"/>
      <c r="I51" s="160">
        <v>1.3888888888888888E-2</v>
      </c>
    </row>
    <row r="52" spans="1:253" s="8" customFormat="1" ht="12">
      <c r="A52" s="6"/>
      <c r="B52" s="157"/>
      <c r="C52" s="158"/>
      <c r="D52" s="159"/>
      <c r="E52" s="220" t="s">
        <v>131</v>
      </c>
      <c r="F52" s="220"/>
      <c r="G52" s="220"/>
      <c r="H52" s="220"/>
      <c r="I52" s="160"/>
    </row>
    <row r="53" spans="1:253" s="8" customFormat="1" ht="50.25" customHeight="1">
      <c r="A53" s="6"/>
      <c r="B53" s="161"/>
      <c r="C53" s="162"/>
      <c r="D53" s="161"/>
      <c r="E53" s="163"/>
      <c r="F53" s="163"/>
      <c r="G53" s="163"/>
      <c r="H53" s="163"/>
      <c r="I53" s="164"/>
    </row>
    <row r="54" spans="1:253" ht="25.5">
      <c r="A54" s="165"/>
      <c r="B54" s="165"/>
      <c r="C54" s="165"/>
      <c r="D54" s="165"/>
      <c r="E54" s="166" t="s">
        <v>6</v>
      </c>
      <c r="F54" s="166" t="s">
        <v>7</v>
      </c>
      <c r="G54" s="166" t="s">
        <v>8</v>
      </c>
      <c r="H54" s="167"/>
      <c r="I54" s="165"/>
    </row>
    <row r="55" spans="1:253">
      <c r="A55" s="3"/>
      <c r="B55" s="168"/>
      <c r="C55" s="168"/>
      <c r="D55" s="168"/>
      <c r="E55" s="169" t="s">
        <v>145</v>
      </c>
      <c r="F55" s="170"/>
      <c r="G55" s="171"/>
      <c r="H55" s="18"/>
      <c r="I55" s="172"/>
      <c r="J55" s="18"/>
      <c r="K55" s="18"/>
      <c r="L55" s="18"/>
      <c r="M55" s="19"/>
      <c r="O55" s="20"/>
      <c r="Q55" s="18"/>
      <c r="R55" s="18"/>
      <c r="S55" s="18"/>
      <c r="T55" s="19"/>
      <c r="V55" s="20"/>
      <c r="X55" s="18"/>
      <c r="Y55" s="18"/>
      <c r="Z55" s="18"/>
      <c r="AA55" s="19"/>
      <c r="AC55" s="20"/>
      <c r="AE55" s="18"/>
      <c r="AF55" s="18"/>
      <c r="AG55" s="18"/>
      <c r="AH55" s="19"/>
      <c r="AJ55" s="20"/>
      <c r="AL55" s="18"/>
      <c r="AM55" s="18"/>
      <c r="AN55" s="18"/>
      <c r="AO55" s="19"/>
      <c r="AQ55" s="20"/>
      <c r="AS55" s="18"/>
      <c r="AT55" s="18"/>
      <c r="AU55" s="18"/>
      <c r="AV55" s="19"/>
      <c r="AX55" s="20"/>
      <c r="AZ55" s="18"/>
      <c r="BA55" s="18"/>
      <c r="BB55" s="18"/>
      <c r="BC55" s="19"/>
      <c r="BE55" s="20"/>
      <c r="BG55" s="18"/>
      <c r="BH55" s="18"/>
      <c r="BI55" s="18"/>
      <c r="BJ55" s="19"/>
      <c r="BL55" s="20"/>
      <c r="BN55" s="18"/>
      <c r="BO55" s="18"/>
      <c r="BP55" s="18"/>
      <c r="BQ55" s="19"/>
      <c r="BS55" s="20"/>
      <c r="BU55" s="18"/>
      <c r="BV55" s="18"/>
      <c r="BW55" s="18"/>
      <c r="BX55" s="19"/>
      <c r="BZ55" s="20"/>
      <c r="CB55" s="18"/>
      <c r="CC55" s="18"/>
      <c r="CD55" s="18"/>
      <c r="CE55" s="19"/>
      <c r="CG55" s="20"/>
      <c r="CI55" s="18"/>
      <c r="CJ55" s="18"/>
      <c r="CK55" s="18"/>
      <c r="CL55" s="19"/>
      <c r="CN55" s="20"/>
      <c r="CP55" s="18"/>
      <c r="CQ55" s="18"/>
      <c r="CR55" s="18"/>
      <c r="CS55" s="19"/>
      <c r="CU55" s="20"/>
      <c r="CW55" s="18"/>
      <c r="CX55" s="18"/>
      <c r="CY55" s="18"/>
      <c r="CZ55" s="19"/>
      <c r="DB55" s="20"/>
      <c r="DD55" s="18"/>
      <c r="DE55" s="18"/>
      <c r="DF55" s="18"/>
      <c r="DG55" s="19"/>
      <c r="DI55" s="20"/>
      <c r="DK55" s="18"/>
      <c r="DL55" s="18"/>
      <c r="DM55" s="18"/>
      <c r="DN55" s="19"/>
      <c r="DP55" s="20"/>
      <c r="DR55" s="18"/>
      <c r="DS55" s="18"/>
      <c r="DT55" s="18"/>
      <c r="DU55" s="19"/>
      <c r="DW55" s="20"/>
      <c r="DY55" s="18"/>
      <c r="DZ55" s="18"/>
      <c r="EA55" s="18"/>
      <c r="EB55" s="19"/>
      <c r="ED55" s="20"/>
      <c r="EF55" s="18"/>
      <c r="EG55" s="18"/>
      <c r="EH55" s="18"/>
      <c r="EI55" s="19"/>
      <c r="EK55" s="20"/>
      <c r="EM55" s="18"/>
      <c r="EN55" s="18"/>
      <c r="EO55" s="18"/>
      <c r="EP55" s="19"/>
      <c r="ER55" s="20"/>
      <c r="ET55" s="18"/>
      <c r="EU55" s="18"/>
      <c r="EV55" s="18"/>
      <c r="EW55" s="19"/>
      <c r="EY55" s="20"/>
      <c r="FA55" s="18"/>
      <c r="FB55" s="18"/>
      <c r="FC55" s="18"/>
      <c r="FD55" s="19"/>
      <c r="FF55" s="20"/>
      <c r="FH55" s="18"/>
      <c r="FI55" s="18"/>
      <c r="FJ55" s="18"/>
      <c r="FK55" s="19"/>
      <c r="FM55" s="20"/>
      <c r="FO55" s="18"/>
      <c r="FP55" s="18"/>
      <c r="FQ55" s="18"/>
      <c r="FR55" s="19"/>
      <c r="FT55" s="20"/>
      <c r="FV55" s="18"/>
      <c r="FW55" s="18"/>
      <c r="FX55" s="18"/>
      <c r="FY55" s="19"/>
      <c r="GA55" s="20"/>
      <c r="GC55" s="18"/>
      <c r="GD55" s="18"/>
      <c r="GE55" s="18"/>
      <c r="GF55" s="19"/>
      <c r="GH55" s="20"/>
      <c r="GJ55" s="18"/>
      <c r="GK55" s="18"/>
      <c r="GL55" s="18"/>
      <c r="GM55" s="19"/>
      <c r="GO55" s="20"/>
      <c r="GQ55" s="18"/>
      <c r="GR55" s="18"/>
      <c r="GS55" s="18"/>
      <c r="GT55" s="19"/>
      <c r="GV55" s="20"/>
      <c r="GX55" s="18"/>
      <c r="GY55" s="18"/>
      <c r="GZ55" s="18"/>
      <c r="HA55" s="19"/>
      <c r="HC55" s="20"/>
      <c r="HE55" s="18"/>
      <c r="HF55" s="18"/>
      <c r="HG55" s="18"/>
      <c r="HH55" s="19"/>
      <c r="HJ55" s="20"/>
      <c r="HL55" s="18"/>
      <c r="HM55" s="18"/>
      <c r="HN55" s="18"/>
      <c r="HO55" s="19"/>
      <c r="HQ55" s="20"/>
      <c r="HS55" s="18"/>
      <c r="HT55" s="18"/>
      <c r="HU55" s="18"/>
      <c r="HV55" s="19"/>
      <c r="HX55" s="20"/>
      <c r="HZ55" s="18"/>
      <c r="IA55" s="18"/>
      <c r="IB55" s="18"/>
      <c r="IC55" s="19"/>
      <c r="IE55" s="20"/>
      <c r="IG55" s="18"/>
      <c r="IH55" s="18"/>
      <c r="II55" s="18"/>
      <c r="IJ55" s="19"/>
      <c r="IL55" s="20"/>
      <c r="IN55" s="18"/>
      <c r="IO55" s="18"/>
      <c r="IP55" s="18"/>
      <c r="IQ55" s="19"/>
      <c r="IS55" s="20"/>
    </row>
    <row r="56" spans="1:253" s="178" customFormat="1">
      <c r="E56" s="185" t="s">
        <v>47</v>
      </c>
      <c r="F56" s="186" t="s">
        <v>15</v>
      </c>
      <c r="G56" s="187">
        <v>1</v>
      </c>
      <c r="H56" s="179"/>
    </row>
    <row r="57" spans="1:253" s="178" customFormat="1">
      <c r="E57" s="185" t="s">
        <v>65</v>
      </c>
      <c r="F57" s="186" t="s">
        <v>49</v>
      </c>
      <c r="G57" s="187">
        <f>0.8*0.096</f>
        <v>7.6800000000000007E-2</v>
      </c>
      <c r="H57" s="179"/>
    </row>
    <row r="58" spans="1:253" s="178" customFormat="1">
      <c r="E58" s="185" t="s">
        <v>50</v>
      </c>
      <c r="F58" s="186" t="s">
        <v>49</v>
      </c>
      <c r="G58" s="187">
        <f>0.53*0.096</f>
        <v>5.0880000000000002E-2</v>
      </c>
      <c r="H58" s="179"/>
    </row>
    <row r="59" spans="1:253" s="178" customFormat="1">
      <c r="E59" s="185" t="s">
        <v>51</v>
      </c>
      <c r="F59" s="186" t="s">
        <v>52</v>
      </c>
      <c r="G59" s="187">
        <f>0.286*0.096</f>
        <v>2.7455999999999998E-2</v>
      </c>
      <c r="H59" s="179"/>
    </row>
    <row r="60" spans="1:253">
      <c r="A60" s="3"/>
      <c r="B60" s="168"/>
      <c r="C60" s="168"/>
      <c r="D60" s="168"/>
      <c r="E60" s="169" t="s">
        <v>132</v>
      </c>
      <c r="F60" s="170"/>
      <c r="G60" s="171"/>
      <c r="H60" s="18"/>
      <c r="I60" s="172"/>
      <c r="J60" s="18"/>
      <c r="K60" s="18"/>
      <c r="L60" s="18"/>
      <c r="M60" s="19"/>
      <c r="O60" s="20"/>
      <c r="Q60" s="18"/>
      <c r="R60" s="18"/>
      <c r="S60" s="18"/>
      <c r="T60" s="19"/>
      <c r="V60" s="20"/>
      <c r="X60" s="18"/>
      <c r="Y60" s="18"/>
      <c r="Z60" s="18"/>
      <c r="AA60" s="19"/>
      <c r="AC60" s="20"/>
      <c r="AE60" s="18"/>
      <c r="AF60" s="18"/>
      <c r="AG60" s="18"/>
      <c r="AH60" s="19"/>
      <c r="AJ60" s="20"/>
      <c r="AL60" s="18"/>
      <c r="AM60" s="18"/>
      <c r="AN60" s="18"/>
      <c r="AO60" s="19"/>
      <c r="AQ60" s="20"/>
      <c r="AS60" s="18"/>
      <c r="AT60" s="18"/>
      <c r="AU60" s="18"/>
      <c r="AV60" s="19"/>
      <c r="AX60" s="20"/>
      <c r="AZ60" s="18"/>
      <c r="BA60" s="18"/>
      <c r="BB60" s="18"/>
      <c r="BC60" s="19"/>
      <c r="BE60" s="20"/>
      <c r="BG60" s="18"/>
      <c r="BH60" s="18"/>
      <c r="BI60" s="18"/>
      <c r="BJ60" s="19"/>
      <c r="BL60" s="20"/>
      <c r="BN60" s="18"/>
      <c r="BO60" s="18"/>
      <c r="BP60" s="18"/>
      <c r="BQ60" s="19"/>
      <c r="BS60" s="20"/>
      <c r="BU60" s="18"/>
      <c r="BV60" s="18"/>
      <c r="BW60" s="18"/>
      <c r="BX60" s="19"/>
      <c r="BZ60" s="20"/>
      <c r="CB60" s="18"/>
      <c r="CC60" s="18"/>
      <c r="CD60" s="18"/>
      <c r="CE60" s="19"/>
      <c r="CG60" s="20"/>
      <c r="CI60" s="18"/>
      <c r="CJ60" s="18"/>
      <c r="CK60" s="18"/>
      <c r="CL60" s="19"/>
      <c r="CN60" s="20"/>
      <c r="CP60" s="18"/>
      <c r="CQ60" s="18"/>
      <c r="CR60" s="18"/>
      <c r="CS60" s="19"/>
      <c r="CU60" s="20"/>
      <c r="CW60" s="18"/>
      <c r="CX60" s="18"/>
      <c r="CY60" s="18"/>
      <c r="CZ60" s="19"/>
      <c r="DB60" s="20"/>
      <c r="DD60" s="18"/>
      <c r="DE60" s="18"/>
      <c r="DF60" s="18"/>
      <c r="DG60" s="19"/>
      <c r="DI60" s="20"/>
      <c r="DK60" s="18"/>
      <c r="DL60" s="18"/>
      <c r="DM60" s="18"/>
      <c r="DN60" s="19"/>
      <c r="DP60" s="20"/>
      <c r="DR60" s="18"/>
      <c r="DS60" s="18"/>
      <c r="DT60" s="18"/>
      <c r="DU60" s="19"/>
      <c r="DW60" s="20"/>
      <c r="DY60" s="18"/>
      <c r="DZ60" s="18"/>
      <c r="EA60" s="18"/>
      <c r="EB60" s="19"/>
      <c r="ED60" s="20"/>
      <c r="EF60" s="18"/>
      <c r="EG60" s="18"/>
      <c r="EH60" s="18"/>
      <c r="EI60" s="19"/>
      <c r="EK60" s="20"/>
      <c r="EM60" s="18"/>
      <c r="EN60" s="18"/>
      <c r="EO60" s="18"/>
      <c r="EP60" s="19"/>
      <c r="ER60" s="20"/>
      <c r="ET60" s="18"/>
      <c r="EU60" s="18"/>
      <c r="EV60" s="18"/>
      <c r="EW60" s="19"/>
      <c r="EY60" s="20"/>
      <c r="FA60" s="18"/>
      <c r="FB60" s="18"/>
      <c r="FC60" s="18"/>
      <c r="FD60" s="19"/>
      <c r="FF60" s="20"/>
      <c r="FH60" s="18"/>
      <c r="FI60" s="18"/>
      <c r="FJ60" s="18"/>
      <c r="FK60" s="19"/>
      <c r="FM60" s="20"/>
      <c r="FO60" s="18"/>
      <c r="FP60" s="18"/>
      <c r="FQ60" s="18"/>
      <c r="FR60" s="19"/>
      <c r="FT60" s="20"/>
      <c r="FV60" s="18"/>
      <c r="FW60" s="18"/>
      <c r="FX60" s="18"/>
      <c r="FY60" s="19"/>
      <c r="GA60" s="20"/>
      <c r="GC60" s="18"/>
      <c r="GD60" s="18"/>
      <c r="GE60" s="18"/>
      <c r="GF60" s="19"/>
      <c r="GH60" s="20"/>
      <c r="GJ60" s="18"/>
      <c r="GK60" s="18"/>
      <c r="GL60" s="18"/>
      <c r="GM60" s="19"/>
      <c r="GO60" s="20"/>
      <c r="GQ60" s="18"/>
      <c r="GR60" s="18"/>
      <c r="GS60" s="18"/>
      <c r="GT60" s="19"/>
      <c r="GV60" s="20"/>
      <c r="GX60" s="18"/>
      <c r="GY60" s="18"/>
      <c r="GZ60" s="18"/>
      <c r="HA60" s="19"/>
      <c r="HC60" s="20"/>
      <c r="HE60" s="18"/>
      <c r="HF60" s="18"/>
      <c r="HG60" s="18"/>
      <c r="HH60" s="19"/>
      <c r="HJ60" s="20"/>
      <c r="HL60" s="18"/>
      <c r="HM60" s="18"/>
      <c r="HN60" s="18"/>
      <c r="HO60" s="19"/>
      <c r="HQ60" s="20"/>
      <c r="HS60" s="18"/>
      <c r="HT60" s="18"/>
      <c r="HU60" s="18"/>
      <c r="HV60" s="19"/>
      <c r="HX60" s="20"/>
      <c r="HZ60" s="18"/>
      <c r="IA60" s="18"/>
      <c r="IB60" s="18"/>
      <c r="IC60" s="19"/>
      <c r="IE60" s="20"/>
      <c r="IG60" s="18"/>
      <c r="IH60" s="18"/>
      <c r="II60" s="18"/>
      <c r="IJ60" s="19"/>
      <c r="IL60" s="20"/>
      <c r="IN60" s="18"/>
      <c r="IO60" s="18"/>
      <c r="IP60" s="18"/>
      <c r="IQ60" s="19"/>
      <c r="IS60" s="20"/>
    </row>
    <row r="61" spans="1:253" s="178" customFormat="1" ht="25.5">
      <c r="E61" s="185" t="s">
        <v>53</v>
      </c>
      <c r="F61" s="186" t="s">
        <v>23</v>
      </c>
      <c r="G61" s="187">
        <v>0.77</v>
      </c>
      <c r="H61" s="179"/>
    </row>
    <row r="62" spans="1:253" s="178" customFormat="1">
      <c r="E62" s="185" t="s">
        <v>54</v>
      </c>
      <c r="F62" s="186" t="s">
        <v>23</v>
      </c>
      <c r="G62" s="187">
        <v>0.42</v>
      </c>
      <c r="H62" s="179"/>
      <c r="K62" s="188"/>
      <c r="M62" s="189"/>
    </row>
    <row r="63" spans="1:253" s="178" customFormat="1">
      <c r="E63" s="185" t="s">
        <v>55</v>
      </c>
      <c r="F63" s="186" t="s">
        <v>23</v>
      </c>
      <c r="G63" s="187">
        <v>0.25</v>
      </c>
      <c r="H63" s="179"/>
      <c r="K63" s="188"/>
    </row>
    <row r="64" spans="1:253" s="178" customFormat="1" ht="25.5">
      <c r="E64" s="185" t="s">
        <v>56</v>
      </c>
      <c r="F64" s="186" t="s">
        <v>23</v>
      </c>
      <c r="G64" s="187">
        <v>1.76</v>
      </c>
      <c r="H64" s="179"/>
      <c r="K64" s="188"/>
    </row>
    <row r="65" spans="1:12">
      <c r="A65" s="172"/>
      <c r="B65" s="172"/>
      <c r="C65" s="172"/>
      <c r="D65" s="172"/>
      <c r="E65" s="91" t="s">
        <v>138</v>
      </c>
      <c r="F65" s="127" t="s">
        <v>23</v>
      </c>
      <c r="G65" s="137">
        <f>SUM(G61:G64)</f>
        <v>3.2</v>
      </c>
      <c r="H65" s="18"/>
      <c r="I65" s="172"/>
      <c r="K65" s="137"/>
      <c r="L65" s="137"/>
    </row>
    <row r="67" spans="1:12">
      <c r="D67" s="181" t="s">
        <v>112</v>
      </c>
    </row>
    <row r="68" spans="1:12" ht="30.75" customHeight="1">
      <c r="B68" s="76"/>
      <c r="D68" s="76"/>
      <c r="E68" s="76" t="s">
        <v>113</v>
      </c>
      <c r="F68" t="s">
        <v>115</v>
      </c>
    </row>
    <row r="69" spans="1:12" ht="28.5" customHeight="1">
      <c r="B69" s="76"/>
      <c r="D69" s="76"/>
      <c r="E69" s="76" t="s">
        <v>113</v>
      </c>
      <c r="F69" t="s">
        <v>116</v>
      </c>
    </row>
    <row r="70" spans="1:12" ht="26.25" customHeight="1">
      <c r="E70" s="76" t="s">
        <v>113</v>
      </c>
      <c r="F70" t="s">
        <v>42</v>
      </c>
    </row>
    <row r="71" spans="1:12" ht="44.25" customHeight="1">
      <c r="E71" s="76"/>
    </row>
    <row r="72" spans="1:12">
      <c r="E72" s="76"/>
    </row>
  </sheetData>
  <mergeCells count="49">
    <mergeCell ref="E9:H9"/>
    <mergeCell ref="E1:H1"/>
    <mergeCell ref="E5:H5"/>
    <mergeCell ref="B7:D7"/>
    <mergeCell ref="E7:H7"/>
    <mergeCell ref="E8:H8"/>
    <mergeCell ref="E21:H21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33:H33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45:H45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52:H52"/>
    <mergeCell ref="E46:H46"/>
    <mergeCell ref="E47:H47"/>
    <mergeCell ref="E48:H48"/>
    <mergeCell ref="E49:H49"/>
    <mergeCell ref="E50:H50"/>
    <mergeCell ref="E51:H51"/>
  </mergeCells>
  <pageMargins left="0.65" right="0.43" top="0.32291666666666669" bottom="0.59" header="0.24" footer="0.24"/>
  <pageSetup paperSize="9" orientation="portrait" verticalDpi="0" r:id="rId1"/>
  <headerFooter alignWithMargins="0"/>
  <rowBreaks count="1" manualBreakCount="1">
    <brk id="26" max="8" man="1"/>
  </rowBreaks>
  <legacyDrawing r:id="rId2"/>
  <oleObjects>
    <oleObject progId="Word.Document.12" shapeId="4097" r:id="rId3"/>
    <oleObject progId="Word.Document.12" shapeId="4098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S32"/>
  <sheetViews>
    <sheetView view="pageLayout" zoomScaleNormal="100" workbookViewId="0">
      <selection activeCell="G9" sqref="G9"/>
    </sheetView>
  </sheetViews>
  <sheetFormatPr defaultRowHeight="12.75" outlineLevelCol="1"/>
  <cols>
    <col min="1" max="1" width="4.140625" customWidth="1"/>
    <col min="2" max="2" width="11.7109375" customWidth="1"/>
    <col min="3" max="3" width="34.7109375" customWidth="1"/>
    <col min="4" max="4" width="9" customWidth="1"/>
    <col min="5" max="5" width="10" customWidth="1"/>
    <col min="6" max="6" width="10.140625" customWidth="1"/>
    <col min="7" max="7" width="9.85546875" customWidth="1"/>
    <col min="8" max="8" width="0" style="3" hidden="1" customWidth="1" outlineLevel="1"/>
    <col min="9" max="9" width="9.140625" style="3" collapsed="1"/>
    <col min="10" max="16384" width="9.140625" style="3"/>
  </cols>
  <sheetData>
    <row r="1" spans="1:253" ht="15.75">
      <c r="A1" s="1"/>
      <c r="B1" s="2"/>
      <c r="C1" s="205" t="s">
        <v>78</v>
      </c>
      <c r="D1" s="205"/>
      <c r="E1" s="205"/>
      <c r="F1" s="205"/>
      <c r="G1" s="1"/>
    </row>
    <row r="2" spans="1:253" s="4" customFormat="1">
      <c r="B2" s="5"/>
      <c r="C2" s="206" t="s">
        <v>79</v>
      </c>
      <c r="D2" s="206"/>
      <c r="E2" s="206"/>
      <c r="F2" s="206"/>
      <c r="G2" s="5"/>
    </row>
    <row r="3" spans="1:253" s="4" customFormat="1">
      <c r="A3" s="125"/>
      <c r="B3" s="125"/>
      <c r="C3" s="125"/>
      <c r="D3" s="125"/>
      <c r="E3" s="125"/>
      <c r="F3" s="125"/>
      <c r="G3" s="125"/>
    </row>
    <row r="4" spans="1:253" s="8" customFormat="1" ht="12">
      <c r="A4" s="6"/>
      <c r="B4" s="7" t="s">
        <v>2</v>
      </c>
      <c r="D4" s="6"/>
      <c r="E4" s="7" t="s">
        <v>3</v>
      </c>
      <c r="F4" s="6"/>
      <c r="G4" s="6"/>
    </row>
    <row r="5" spans="1:253">
      <c r="E5" s="7"/>
    </row>
    <row r="6" spans="1:253" ht="38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10" t="s">
        <v>11</v>
      </c>
    </row>
    <row r="7" spans="1:25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253">
      <c r="A8" s="39"/>
      <c r="B8" s="16"/>
      <c r="C8" s="40" t="s">
        <v>12</v>
      </c>
      <c r="D8" s="16"/>
      <c r="E8" s="41"/>
      <c r="G8" s="41"/>
      <c r="H8" s="20"/>
      <c r="J8" s="18"/>
      <c r="K8" s="18"/>
      <c r="L8" s="18"/>
      <c r="M8" s="19"/>
      <c r="O8" s="20"/>
      <c r="Q8" s="18"/>
      <c r="R8" s="18"/>
      <c r="S8" s="18"/>
      <c r="T8" s="19"/>
      <c r="V8" s="20"/>
      <c r="X8" s="18"/>
      <c r="Y8" s="18"/>
      <c r="Z8" s="18"/>
      <c r="AA8" s="19"/>
      <c r="AC8" s="20"/>
      <c r="AE8" s="18"/>
      <c r="AF8" s="18"/>
      <c r="AG8" s="18"/>
      <c r="AH8" s="19"/>
      <c r="AJ8" s="20"/>
      <c r="AL8" s="18"/>
      <c r="AM8" s="18"/>
      <c r="AN8" s="18"/>
      <c r="AO8" s="19"/>
      <c r="AQ8" s="20"/>
      <c r="AS8" s="18"/>
      <c r="AT8" s="18"/>
      <c r="AU8" s="18"/>
      <c r="AV8" s="19"/>
      <c r="AX8" s="20"/>
      <c r="AZ8" s="18"/>
      <c r="BA8" s="18"/>
      <c r="BB8" s="18"/>
      <c r="BC8" s="19"/>
      <c r="BE8" s="20"/>
      <c r="BG8" s="18"/>
      <c r="BH8" s="18"/>
      <c r="BI8" s="18"/>
      <c r="BJ8" s="19"/>
      <c r="BL8" s="20"/>
      <c r="BN8" s="18"/>
      <c r="BO8" s="18"/>
      <c r="BP8" s="18"/>
      <c r="BQ8" s="19"/>
      <c r="BS8" s="20"/>
      <c r="BU8" s="18"/>
      <c r="BV8" s="18"/>
      <c r="BW8" s="18"/>
      <c r="BX8" s="19"/>
      <c r="BZ8" s="20"/>
      <c r="CB8" s="18"/>
      <c r="CC8" s="18"/>
      <c r="CD8" s="18"/>
      <c r="CE8" s="19"/>
      <c r="CG8" s="20"/>
      <c r="CI8" s="18"/>
      <c r="CJ8" s="18"/>
      <c r="CK8" s="18"/>
      <c r="CL8" s="19"/>
      <c r="CN8" s="20"/>
      <c r="CP8" s="18"/>
      <c r="CQ8" s="18"/>
      <c r="CR8" s="18"/>
      <c r="CS8" s="19"/>
      <c r="CU8" s="20"/>
      <c r="CW8" s="18"/>
      <c r="CX8" s="18"/>
      <c r="CY8" s="18"/>
      <c r="CZ8" s="19"/>
      <c r="DB8" s="20"/>
      <c r="DD8" s="18"/>
      <c r="DE8" s="18"/>
      <c r="DF8" s="18"/>
      <c r="DG8" s="19"/>
      <c r="DI8" s="20"/>
      <c r="DK8" s="18"/>
      <c r="DL8" s="18"/>
      <c r="DM8" s="18"/>
      <c r="DN8" s="19"/>
      <c r="DP8" s="20"/>
      <c r="DR8" s="18"/>
      <c r="DS8" s="18"/>
      <c r="DT8" s="18"/>
      <c r="DU8" s="19"/>
      <c r="DW8" s="20"/>
      <c r="DY8" s="18"/>
      <c r="DZ8" s="18"/>
      <c r="EA8" s="18"/>
      <c r="EB8" s="19"/>
      <c r="ED8" s="20"/>
      <c r="EF8" s="18"/>
      <c r="EG8" s="18"/>
      <c r="EH8" s="18"/>
      <c r="EI8" s="19"/>
      <c r="EK8" s="20"/>
      <c r="EM8" s="18"/>
      <c r="EN8" s="18"/>
      <c r="EO8" s="18"/>
      <c r="EP8" s="19"/>
      <c r="ER8" s="20"/>
      <c r="ET8" s="18"/>
      <c r="EU8" s="18"/>
      <c r="EV8" s="18"/>
      <c r="EW8" s="19"/>
      <c r="EY8" s="20"/>
      <c r="FA8" s="18"/>
      <c r="FB8" s="18"/>
      <c r="FC8" s="18"/>
      <c r="FD8" s="19"/>
      <c r="FF8" s="20"/>
      <c r="FH8" s="18"/>
      <c r="FI8" s="18"/>
      <c r="FJ8" s="18"/>
      <c r="FK8" s="19"/>
      <c r="FM8" s="20"/>
      <c r="FO8" s="18"/>
      <c r="FP8" s="18"/>
      <c r="FQ8" s="18"/>
      <c r="FR8" s="19"/>
      <c r="FT8" s="20"/>
      <c r="FV8" s="18"/>
      <c r="FW8" s="18"/>
      <c r="FX8" s="18"/>
      <c r="FY8" s="19"/>
      <c r="GA8" s="20"/>
      <c r="GC8" s="18"/>
      <c r="GD8" s="18"/>
      <c r="GE8" s="18"/>
      <c r="GF8" s="19"/>
      <c r="GH8" s="20"/>
      <c r="GJ8" s="18"/>
      <c r="GK8" s="18"/>
      <c r="GL8" s="18"/>
      <c r="GM8" s="19"/>
      <c r="GO8" s="20"/>
      <c r="GQ8" s="18"/>
      <c r="GR8" s="18"/>
      <c r="GS8" s="18"/>
      <c r="GT8" s="19"/>
      <c r="GV8" s="20"/>
      <c r="GX8" s="18"/>
      <c r="GY8" s="18"/>
      <c r="GZ8" s="18"/>
      <c r="HA8" s="19"/>
      <c r="HC8" s="20"/>
      <c r="HE8" s="18"/>
      <c r="HF8" s="18"/>
      <c r="HG8" s="18"/>
      <c r="HH8" s="19"/>
      <c r="HJ8" s="20"/>
      <c r="HL8" s="18"/>
      <c r="HM8" s="18"/>
      <c r="HN8" s="18"/>
      <c r="HO8" s="19"/>
      <c r="HQ8" s="20"/>
      <c r="HS8" s="18"/>
      <c r="HT8" s="18"/>
      <c r="HU8" s="18"/>
      <c r="HV8" s="19"/>
      <c r="HX8" s="20"/>
      <c r="HZ8" s="18"/>
      <c r="IA8" s="18"/>
      <c r="IB8" s="18"/>
      <c r="IC8" s="19"/>
      <c r="IE8" s="20"/>
      <c r="IG8" s="18"/>
      <c r="IH8" s="18"/>
      <c r="II8" s="18"/>
      <c r="IJ8" s="19"/>
      <c r="IL8" s="20"/>
      <c r="IN8" s="18"/>
      <c r="IO8" s="18"/>
      <c r="IP8" s="18"/>
      <c r="IQ8" s="19"/>
      <c r="IS8" s="20"/>
    </row>
    <row r="9" spans="1:253">
      <c r="A9" s="26">
        <v>1</v>
      </c>
      <c r="B9" s="27" t="s">
        <v>80</v>
      </c>
      <c r="C9" s="28" t="s">
        <v>81</v>
      </c>
      <c r="D9" s="27" t="s">
        <v>15</v>
      </c>
      <c r="E9" s="29">
        <v>1</v>
      </c>
      <c r="F9" s="136">
        <v>505.7</v>
      </c>
      <c r="G9" s="31">
        <f>E9*F9</f>
        <v>505.7</v>
      </c>
    </row>
    <row r="10" spans="1:253">
      <c r="A10" s="51"/>
      <c r="B10" s="52"/>
      <c r="C10" s="52"/>
      <c r="D10" s="35"/>
      <c r="E10" s="36" t="s">
        <v>48</v>
      </c>
      <c r="F10" s="52"/>
      <c r="G10" s="37">
        <f>(F9)*0.75%</f>
        <v>3.7927499999999998</v>
      </c>
    </row>
    <row r="11" spans="1:253" s="4" customFormat="1">
      <c r="A11" s="207" t="s">
        <v>20</v>
      </c>
      <c r="B11" s="208"/>
      <c r="C11" s="208"/>
      <c r="D11" s="208"/>
      <c r="E11" s="126"/>
      <c r="F11" s="126"/>
      <c r="G11" s="38">
        <f>G9+G10</f>
        <v>509.49275</v>
      </c>
      <c r="H11" s="93"/>
    </row>
    <row r="12" spans="1:253">
      <c r="A12" s="12"/>
      <c r="B12" s="13"/>
      <c r="C12" s="14" t="s">
        <v>21</v>
      </c>
      <c r="D12" s="13"/>
      <c r="E12" s="15"/>
      <c r="F12" s="13"/>
      <c r="G12" s="17"/>
    </row>
    <row r="13" spans="1:253" ht="25.5">
      <c r="A13" s="132">
        <v>1</v>
      </c>
      <c r="B13" s="133"/>
      <c r="C13" s="134" t="s">
        <v>82</v>
      </c>
      <c r="D13" s="27" t="s">
        <v>23</v>
      </c>
      <c r="E13" s="30">
        <v>2</v>
      </c>
      <c r="F13" s="29"/>
      <c r="G13" s="44"/>
    </row>
    <row r="14" spans="1:253" s="4" customFormat="1">
      <c r="A14" s="45"/>
      <c r="B14" s="46"/>
      <c r="C14" s="46"/>
      <c r="D14" s="47" t="s">
        <v>24</v>
      </c>
      <c r="E14" s="48">
        <f>SUM(E12:E13)</f>
        <v>2</v>
      </c>
      <c r="F14" s="49">
        <v>66.91</v>
      </c>
      <c r="G14" s="50">
        <f>ROUND(E14*F14,2)</f>
        <v>133.82</v>
      </c>
    </row>
    <row r="15" spans="1:253">
      <c r="A15" s="51"/>
      <c r="B15" s="52"/>
      <c r="C15" s="52"/>
      <c r="D15" s="53" t="s">
        <v>25</v>
      </c>
      <c r="E15" s="54"/>
      <c r="F15" s="55"/>
      <c r="G15" s="56">
        <f>G14*42%</f>
        <v>56.204399999999993</v>
      </c>
    </row>
    <row r="16" spans="1:253" s="4" customFormat="1">
      <c r="A16" s="207" t="s">
        <v>26</v>
      </c>
      <c r="B16" s="208"/>
      <c r="C16" s="208"/>
      <c r="D16" s="208"/>
      <c r="E16" s="126"/>
      <c r="F16" s="126"/>
      <c r="G16" s="38">
        <f>G14+G15</f>
        <v>190.02439999999999</v>
      </c>
      <c r="H16"/>
    </row>
    <row r="17" spans="1:253" customFormat="1">
      <c r="A17" s="57"/>
      <c r="B17" s="58"/>
      <c r="C17" s="58"/>
      <c r="D17" s="59"/>
      <c r="E17" s="58"/>
      <c r="F17" s="60" t="s">
        <v>41</v>
      </c>
      <c r="G17" s="61">
        <f>G11+G16-0.01</f>
        <v>699.50715000000002</v>
      </c>
    </row>
    <row r="18" spans="1:253" customFormat="1">
      <c r="A18" s="62"/>
      <c r="B18" s="63"/>
      <c r="C18" s="63"/>
      <c r="D18" s="64"/>
      <c r="E18" s="63"/>
      <c r="F18" s="65" t="s">
        <v>27</v>
      </c>
      <c r="G18" s="66">
        <f>(G16)*22%-0.01</f>
        <v>41.795367999999996</v>
      </c>
    </row>
    <row r="19" spans="1:253" customFormat="1">
      <c r="A19" s="62"/>
      <c r="B19" s="63"/>
      <c r="C19" s="63"/>
      <c r="D19" s="64"/>
      <c r="E19" s="63"/>
      <c r="F19" s="65" t="s">
        <v>156</v>
      </c>
      <c r="G19" s="66">
        <f>G16*64.6%-0.01</f>
        <v>122.74576239999996</v>
      </c>
    </row>
    <row r="20" spans="1:253" customFormat="1">
      <c r="A20" s="62"/>
      <c r="B20" s="63"/>
      <c r="C20" s="63"/>
      <c r="D20" s="64"/>
      <c r="E20" s="63"/>
      <c r="F20" s="65" t="s">
        <v>28</v>
      </c>
      <c r="G20" s="66">
        <f>ROUND(G17+G18+G19,2)+0.01</f>
        <v>864.06</v>
      </c>
    </row>
    <row r="21" spans="1:253" customFormat="1">
      <c r="A21" s="62"/>
      <c r="B21" s="63"/>
      <c r="C21" s="63"/>
      <c r="D21" s="63"/>
      <c r="E21" s="63"/>
      <c r="F21" s="65" t="s">
        <v>29</v>
      </c>
      <c r="G21" s="66">
        <f>ROUND(G20*12%,2)</f>
        <v>103.69</v>
      </c>
      <c r="H21" s="79"/>
    </row>
    <row r="22" spans="1:253" customFormat="1">
      <c r="A22" s="62"/>
      <c r="B22" s="63"/>
      <c r="C22" s="63"/>
      <c r="D22" s="64"/>
      <c r="E22" s="63"/>
      <c r="F22" s="67" t="s">
        <v>30</v>
      </c>
      <c r="G22" s="68">
        <f>G20+G21</f>
        <v>967.75</v>
      </c>
    </row>
    <row r="23" spans="1:253" customFormat="1">
      <c r="A23" s="62"/>
      <c r="B23" s="63"/>
      <c r="C23" s="63"/>
      <c r="D23" s="64"/>
      <c r="E23" s="63"/>
      <c r="F23" s="65" t="s">
        <v>31</v>
      </c>
      <c r="G23" s="66">
        <f>ROUND(G22/5,2)</f>
        <v>193.55</v>
      </c>
    </row>
    <row r="24" spans="1:253">
      <c r="A24" s="70"/>
      <c r="B24" s="71"/>
      <c r="C24" s="71"/>
      <c r="D24" s="72"/>
      <c r="E24" s="71"/>
      <c r="F24" s="73" t="s">
        <v>32</v>
      </c>
      <c r="G24" s="74">
        <f>G22+G23</f>
        <v>1161.3</v>
      </c>
    </row>
    <row r="27" spans="1:253" customFormat="1">
      <c r="B27" s="215" t="s">
        <v>33</v>
      </c>
      <c r="C27" s="215"/>
      <c r="D27" s="215"/>
      <c r="E27" t="s">
        <v>34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customFormat="1">
      <c r="C28" s="7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customFormat="1">
      <c r="B29" s="216" t="s">
        <v>35</v>
      </c>
      <c r="C29" s="216"/>
      <c r="D29" s="77"/>
      <c r="E29" t="s">
        <v>42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2" spans="1:253" customFormat="1" ht="19.5" customHeight="1">
      <c r="B32" s="75" t="s">
        <v>36</v>
      </c>
      <c r="C32" s="75"/>
      <c r="D32" s="75"/>
      <c r="E32" s="148" t="s">
        <v>99</v>
      </c>
      <c r="F32" s="7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</sheetData>
  <mergeCells count="6">
    <mergeCell ref="B27:D27"/>
    <mergeCell ref="B29:C29"/>
    <mergeCell ref="C1:F1"/>
    <mergeCell ref="C2:F2"/>
    <mergeCell ref="A11:D11"/>
    <mergeCell ref="A16:D16"/>
  </mergeCells>
  <pageMargins left="0.65" right="0.43" top="1.2916666666666667" bottom="0.59" header="0.24" footer="0.24"/>
  <pageSetup paperSize="9" orientation="portrait" verticalDpi="0" r:id="rId1"/>
  <headerFooter alignWithMargins="0">
    <oddHeader>&amp;L&amp;"Arial Cyr,полужирный"ЗАТВЕРДЖЕНО
Директор ММКП "РБУ"
______________ Діус В.В.
29.03.2021р.&amp;R&amp;"Arial Cyr,полужирный"ПОГОДЖЕНО
Начальник УМГ
______________ Блінов А.Ю.
29.03.2021р.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57"/>
  <sheetViews>
    <sheetView topLeftCell="A22" workbookViewId="0">
      <selection activeCell="O30" sqref="O30"/>
    </sheetView>
  </sheetViews>
  <sheetFormatPr defaultRowHeight="12.75"/>
  <cols>
    <col min="1" max="1" width="4.140625" customWidth="1"/>
    <col min="2" max="2" width="6" customWidth="1"/>
    <col min="3" max="3" width="2.42578125" style="1" customWidth="1"/>
    <col min="4" max="4" width="6.42578125" customWidth="1"/>
    <col min="5" max="5" width="34.7109375" customWidth="1"/>
    <col min="6" max="6" width="9" customWidth="1"/>
    <col min="7" max="7" width="10" customWidth="1"/>
    <col min="8" max="8" width="10.140625" customWidth="1"/>
    <col min="9" max="9" width="9.85546875" style="152" customWidth="1"/>
    <col min="10" max="16384" width="9.140625" style="3"/>
  </cols>
  <sheetData>
    <row r="1" spans="1:9" ht="63" customHeight="1">
      <c r="A1" s="1"/>
      <c r="B1" s="2"/>
      <c r="C1" s="2"/>
      <c r="D1" s="2"/>
      <c r="E1" s="205"/>
      <c r="F1" s="205"/>
      <c r="G1" s="205"/>
      <c r="H1" s="205"/>
    </row>
    <row r="2" spans="1:9" ht="63" customHeight="1">
      <c r="A2" s="1"/>
      <c r="B2" s="2"/>
      <c r="C2" s="2"/>
      <c r="D2" s="2"/>
      <c r="E2" s="149"/>
      <c r="F2" s="149"/>
      <c r="G2" s="149"/>
      <c r="H2" s="149"/>
    </row>
    <row r="3" spans="1:9" ht="63" customHeight="1">
      <c r="A3" s="1"/>
      <c r="B3" s="2"/>
      <c r="C3" s="2"/>
      <c r="D3" s="2"/>
      <c r="E3" s="149"/>
      <c r="F3" s="149"/>
      <c r="G3" s="149"/>
      <c r="H3" s="149"/>
    </row>
    <row r="4" spans="1:9" ht="83.25" customHeight="1">
      <c r="A4" s="1"/>
      <c r="B4" s="2"/>
      <c r="C4" s="2"/>
      <c r="D4" s="2"/>
      <c r="E4" s="149"/>
      <c r="F4" s="149"/>
      <c r="G4" s="149"/>
      <c r="H4" s="149"/>
    </row>
    <row r="5" spans="1:9" s="4" customFormat="1" ht="110.25" customHeight="1">
      <c r="B5" s="5"/>
      <c r="C5" s="150"/>
      <c r="D5" s="5"/>
      <c r="E5" s="206"/>
      <c r="F5" s="206"/>
      <c r="G5" s="206"/>
      <c r="H5" s="206"/>
      <c r="I5" s="5"/>
    </row>
    <row r="6" spans="1:9" s="4" customFormat="1" ht="72" customHeight="1">
      <c r="B6" s="5"/>
      <c r="C6" s="150"/>
      <c r="D6" s="5"/>
      <c r="E6" s="150"/>
      <c r="F6" s="150"/>
      <c r="G6" s="150"/>
      <c r="H6" s="150"/>
      <c r="I6" s="5"/>
    </row>
    <row r="7" spans="1:9" s="156" customFormat="1" ht="24" customHeight="1">
      <c r="A7" s="154"/>
      <c r="B7" s="211" t="s">
        <v>103</v>
      </c>
      <c r="C7" s="212"/>
      <c r="D7" s="213"/>
      <c r="E7" s="214" t="s">
        <v>104</v>
      </c>
      <c r="F7" s="214"/>
      <c r="G7" s="214"/>
      <c r="H7" s="214"/>
      <c r="I7" s="155" t="s">
        <v>105</v>
      </c>
    </row>
    <row r="8" spans="1:9" s="8" customFormat="1" ht="26.25" customHeight="1">
      <c r="A8" s="6"/>
      <c r="B8" s="157">
        <v>0.33333333333333331</v>
      </c>
      <c r="C8" s="158" t="s">
        <v>16</v>
      </c>
      <c r="D8" s="159">
        <f>B8+I8</f>
        <v>0.33680555555555552</v>
      </c>
      <c r="E8" s="209" t="s">
        <v>133</v>
      </c>
      <c r="F8" s="209"/>
      <c r="G8" s="209"/>
      <c r="H8" s="209"/>
      <c r="I8" s="160">
        <v>3.472222222222222E-3</v>
      </c>
    </row>
    <row r="9" spans="1:9" s="8" customFormat="1" ht="24.75" customHeight="1">
      <c r="A9" s="6"/>
      <c r="B9" s="157">
        <f>D8</f>
        <v>0.33680555555555552</v>
      </c>
      <c r="C9" s="158" t="s">
        <v>16</v>
      </c>
      <c r="D9" s="159">
        <f t="shared" ref="D9:D42" si="0">B9+I9</f>
        <v>0.35763888888888884</v>
      </c>
      <c r="E9" s="209" t="s">
        <v>120</v>
      </c>
      <c r="F9" s="209"/>
      <c r="G9" s="209"/>
      <c r="H9" s="209"/>
      <c r="I9" s="160">
        <v>2.0833333333333332E-2</v>
      </c>
    </row>
    <row r="10" spans="1:9" s="8" customFormat="1" ht="12">
      <c r="A10" s="6"/>
      <c r="B10" s="157">
        <f t="shared" ref="B10:B42" si="1">D9</f>
        <v>0.35763888888888884</v>
      </c>
      <c r="C10" s="158" t="s">
        <v>16</v>
      </c>
      <c r="D10" s="159">
        <f t="shared" si="0"/>
        <v>0.36111111111111105</v>
      </c>
      <c r="E10" s="209" t="s">
        <v>121</v>
      </c>
      <c r="F10" s="209"/>
      <c r="G10" s="209"/>
      <c r="H10" s="209"/>
      <c r="I10" s="160">
        <v>3.472222222222222E-3</v>
      </c>
    </row>
    <row r="11" spans="1:9" s="8" customFormat="1" ht="12">
      <c r="A11" s="6">
        <v>1</v>
      </c>
      <c r="B11" s="157">
        <f t="shared" si="1"/>
        <v>0.36111111111111105</v>
      </c>
      <c r="C11" s="158" t="s">
        <v>16</v>
      </c>
      <c r="D11" s="159">
        <f t="shared" si="0"/>
        <v>0.38888888888888884</v>
      </c>
      <c r="E11" s="209" t="s">
        <v>134</v>
      </c>
      <c r="F11" s="209"/>
      <c r="G11" s="209"/>
      <c r="H11" s="209"/>
      <c r="I11" s="160">
        <v>2.7777777777777776E-2</v>
      </c>
    </row>
    <row r="12" spans="1:9" s="8" customFormat="1" ht="12" customHeight="1">
      <c r="A12" s="6"/>
      <c r="B12" s="157">
        <f t="shared" si="1"/>
        <v>0.38888888888888884</v>
      </c>
      <c r="C12" s="158" t="s">
        <v>16</v>
      </c>
      <c r="D12" s="159">
        <f t="shared" si="0"/>
        <v>0.39236111111111105</v>
      </c>
      <c r="E12" s="209" t="s">
        <v>135</v>
      </c>
      <c r="F12" s="209"/>
      <c r="G12" s="209"/>
      <c r="H12" s="209"/>
      <c r="I12" s="160">
        <v>3.472222222222222E-3</v>
      </c>
    </row>
    <row r="13" spans="1:9" s="8" customFormat="1" ht="12">
      <c r="A13" s="6"/>
      <c r="B13" s="157">
        <f t="shared" si="1"/>
        <v>0.39236111111111105</v>
      </c>
      <c r="C13" s="158" t="s">
        <v>16</v>
      </c>
      <c r="D13" s="159">
        <f t="shared" si="0"/>
        <v>0.39583333333333326</v>
      </c>
      <c r="E13" s="209" t="s">
        <v>136</v>
      </c>
      <c r="F13" s="209"/>
      <c r="G13" s="209"/>
      <c r="H13" s="209"/>
      <c r="I13" s="160">
        <v>3.472222222222222E-3</v>
      </c>
    </row>
    <row r="14" spans="1:9" s="8" customFormat="1" ht="12" customHeight="1">
      <c r="A14" s="6"/>
      <c r="B14" s="157">
        <f t="shared" si="1"/>
        <v>0.39583333333333326</v>
      </c>
      <c r="C14" s="158" t="s">
        <v>16</v>
      </c>
      <c r="D14" s="159">
        <f t="shared" si="0"/>
        <v>0.39930555555555547</v>
      </c>
      <c r="E14" s="209" t="s">
        <v>121</v>
      </c>
      <c r="F14" s="209"/>
      <c r="G14" s="209"/>
      <c r="H14" s="209"/>
      <c r="I14" s="160">
        <v>3.472222222222222E-3</v>
      </c>
    </row>
    <row r="15" spans="1:9" s="8" customFormat="1" ht="12" customHeight="1">
      <c r="A15" s="6">
        <v>2</v>
      </c>
      <c r="B15" s="157">
        <f t="shared" si="1"/>
        <v>0.39930555555555547</v>
      </c>
      <c r="C15" s="158" t="s">
        <v>16</v>
      </c>
      <c r="D15" s="159">
        <f t="shared" si="0"/>
        <v>0.42708333333333326</v>
      </c>
      <c r="E15" s="209" t="s">
        <v>134</v>
      </c>
      <c r="F15" s="209"/>
      <c r="G15" s="209"/>
      <c r="H15" s="209"/>
      <c r="I15" s="160">
        <v>2.7777777777777776E-2</v>
      </c>
    </row>
    <row r="16" spans="1:9" s="8" customFormat="1" ht="12" customHeight="1">
      <c r="A16" s="6"/>
      <c r="B16" s="157">
        <f t="shared" si="1"/>
        <v>0.42708333333333326</v>
      </c>
      <c r="C16" s="158" t="s">
        <v>16</v>
      </c>
      <c r="D16" s="159">
        <f t="shared" si="0"/>
        <v>0.43055555555555547</v>
      </c>
      <c r="E16" s="209" t="s">
        <v>135</v>
      </c>
      <c r="F16" s="209"/>
      <c r="G16" s="209"/>
      <c r="H16" s="209"/>
      <c r="I16" s="160">
        <v>3.472222222222222E-3</v>
      </c>
    </row>
    <row r="17" spans="1:9" s="8" customFormat="1" ht="12">
      <c r="A17" s="6"/>
      <c r="B17" s="157">
        <f t="shared" si="1"/>
        <v>0.43055555555555547</v>
      </c>
      <c r="C17" s="158" t="s">
        <v>16</v>
      </c>
      <c r="D17" s="159">
        <f t="shared" si="0"/>
        <v>0.43402777777777768</v>
      </c>
      <c r="E17" s="209" t="s">
        <v>136</v>
      </c>
      <c r="F17" s="209"/>
      <c r="G17" s="209"/>
      <c r="H17" s="209"/>
      <c r="I17" s="160">
        <v>3.472222222222222E-3</v>
      </c>
    </row>
    <row r="18" spans="1:9" s="8" customFormat="1" ht="12" customHeight="1">
      <c r="A18" s="6"/>
      <c r="B18" s="157">
        <f t="shared" si="1"/>
        <v>0.43402777777777768</v>
      </c>
      <c r="C18" s="158" t="s">
        <v>16</v>
      </c>
      <c r="D18" s="159">
        <f t="shared" si="0"/>
        <v>0.43749999999999989</v>
      </c>
      <c r="E18" s="209" t="s">
        <v>121</v>
      </c>
      <c r="F18" s="209"/>
      <c r="G18" s="209"/>
      <c r="H18" s="209"/>
      <c r="I18" s="160">
        <v>3.472222222222222E-3</v>
      </c>
    </row>
    <row r="19" spans="1:9" s="8" customFormat="1" ht="12">
      <c r="A19" s="6">
        <v>3</v>
      </c>
      <c r="B19" s="157">
        <f t="shared" si="1"/>
        <v>0.43749999999999989</v>
      </c>
      <c r="C19" s="158" t="s">
        <v>16</v>
      </c>
      <c r="D19" s="159">
        <f t="shared" si="0"/>
        <v>0.46527777777777768</v>
      </c>
      <c r="E19" s="209" t="s">
        <v>134</v>
      </c>
      <c r="F19" s="209"/>
      <c r="G19" s="209"/>
      <c r="H19" s="209"/>
      <c r="I19" s="160">
        <v>2.7777777777777776E-2</v>
      </c>
    </row>
    <row r="20" spans="1:9" s="8" customFormat="1" ht="12">
      <c r="A20" s="6"/>
      <c r="B20" s="157">
        <f t="shared" si="1"/>
        <v>0.46527777777777768</v>
      </c>
      <c r="C20" s="158" t="s">
        <v>16</v>
      </c>
      <c r="D20" s="159">
        <f t="shared" si="0"/>
        <v>0.46874999999999989</v>
      </c>
      <c r="E20" s="209" t="s">
        <v>135</v>
      </c>
      <c r="F20" s="209"/>
      <c r="G20" s="209"/>
      <c r="H20" s="209"/>
      <c r="I20" s="160">
        <v>3.472222222222222E-3</v>
      </c>
    </row>
    <row r="21" spans="1:9" s="8" customFormat="1" ht="12">
      <c r="A21" s="6"/>
      <c r="B21" s="157">
        <f t="shared" si="1"/>
        <v>0.46874999999999989</v>
      </c>
      <c r="C21" s="158" t="s">
        <v>16</v>
      </c>
      <c r="D21" s="159">
        <f t="shared" si="0"/>
        <v>0.4722222222222221</v>
      </c>
      <c r="E21" s="209" t="s">
        <v>136</v>
      </c>
      <c r="F21" s="209"/>
      <c r="G21" s="209"/>
      <c r="H21" s="209"/>
      <c r="I21" s="160">
        <v>3.472222222222222E-3</v>
      </c>
    </row>
    <row r="22" spans="1:9" s="8" customFormat="1" ht="12">
      <c r="A22" s="6"/>
      <c r="B22" s="157">
        <f t="shared" si="1"/>
        <v>0.4722222222222221</v>
      </c>
      <c r="C22" s="158"/>
      <c r="D22" s="159">
        <f t="shared" si="0"/>
        <v>0.51388888888888873</v>
      </c>
      <c r="E22" s="209" t="s">
        <v>107</v>
      </c>
      <c r="F22" s="209"/>
      <c r="G22" s="209"/>
      <c r="H22" s="209"/>
      <c r="I22" s="160">
        <v>4.1666666666666664E-2</v>
      </c>
    </row>
    <row r="23" spans="1:9" s="8" customFormat="1" ht="12" customHeight="1">
      <c r="A23" s="6"/>
      <c r="B23" s="157">
        <f t="shared" si="1"/>
        <v>0.51388888888888873</v>
      </c>
      <c r="C23" s="158" t="s">
        <v>16</v>
      </c>
      <c r="D23" s="159">
        <f t="shared" si="0"/>
        <v>0.51736111111111094</v>
      </c>
      <c r="E23" s="209" t="s">
        <v>121</v>
      </c>
      <c r="F23" s="209"/>
      <c r="G23" s="209"/>
      <c r="H23" s="209"/>
      <c r="I23" s="160">
        <v>3.472222222222222E-3</v>
      </c>
    </row>
    <row r="24" spans="1:9" s="8" customFormat="1" ht="12">
      <c r="A24" s="6">
        <v>4</v>
      </c>
      <c r="B24" s="157">
        <f t="shared" si="1"/>
        <v>0.51736111111111094</v>
      </c>
      <c r="C24" s="158" t="s">
        <v>16</v>
      </c>
      <c r="D24" s="159">
        <f t="shared" si="0"/>
        <v>0.54513888888888873</v>
      </c>
      <c r="E24" s="209" t="s">
        <v>134</v>
      </c>
      <c r="F24" s="209"/>
      <c r="G24" s="209"/>
      <c r="H24" s="209"/>
      <c r="I24" s="160">
        <v>2.7777777777777776E-2</v>
      </c>
    </row>
    <row r="25" spans="1:9" s="8" customFormat="1" ht="12">
      <c r="A25" s="6"/>
      <c r="B25" s="157">
        <f t="shared" si="1"/>
        <v>0.54513888888888873</v>
      </c>
      <c r="C25" s="158" t="s">
        <v>16</v>
      </c>
      <c r="D25" s="159">
        <f t="shared" si="0"/>
        <v>0.54861111111111094</v>
      </c>
      <c r="E25" s="209" t="s">
        <v>135</v>
      </c>
      <c r="F25" s="209"/>
      <c r="G25" s="209"/>
      <c r="H25" s="209"/>
      <c r="I25" s="160">
        <v>3.472222222222222E-3</v>
      </c>
    </row>
    <row r="26" spans="1:9" s="8" customFormat="1" ht="12">
      <c r="A26" s="6"/>
      <c r="B26" s="157">
        <f t="shared" si="1"/>
        <v>0.54861111111111094</v>
      </c>
      <c r="C26" s="158" t="s">
        <v>16</v>
      </c>
      <c r="D26" s="159">
        <f t="shared" si="0"/>
        <v>0.55208333333333315</v>
      </c>
      <c r="E26" s="209" t="s">
        <v>136</v>
      </c>
      <c r="F26" s="209"/>
      <c r="G26" s="209"/>
      <c r="H26" s="209"/>
      <c r="I26" s="160">
        <v>3.472222222222222E-3</v>
      </c>
    </row>
    <row r="27" spans="1:9" s="8" customFormat="1" ht="12">
      <c r="A27" s="6"/>
      <c r="B27" s="157">
        <f t="shared" si="1"/>
        <v>0.55208333333333315</v>
      </c>
      <c r="C27" s="158" t="s">
        <v>16</v>
      </c>
      <c r="D27" s="159">
        <f t="shared" si="0"/>
        <v>0.55555555555555536</v>
      </c>
      <c r="E27" s="209" t="s">
        <v>121</v>
      </c>
      <c r="F27" s="209"/>
      <c r="G27" s="209"/>
      <c r="H27" s="209"/>
      <c r="I27" s="160">
        <v>3.472222222222222E-3</v>
      </c>
    </row>
    <row r="28" spans="1:9" s="8" customFormat="1" ht="12" customHeight="1">
      <c r="A28" s="6">
        <v>5</v>
      </c>
      <c r="B28" s="157">
        <f t="shared" si="1"/>
        <v>0.55555555555555536</v>
      </c>
      <c r="C28" s="158" t="s">
        <v>16</v>
      </c>
      <c r="D28" s="159">
        <f t="shared" si="0"/>
        <v>0.58333333333333315</v>
      </c>
      <c r="E28" s="209" t="s">
        <v>134</v>
      </c>
      <c r="F28" s="209"/>
      <c r="G28" s="209"/>
      <c r="H28" s="209"/>
      <c r="I28" s="160">
        <v>2.7777777777777776E-2</v>
      </c>
    </row>
    <row r="29" spans="1:9" s="8" customFormat="1" ht="12">
      <c r="A29" s="6"/>
      <c r="B29" s="157">
        <f t="shared" si="1"/>
        <v>0.58333333333333315</v>
      </c>
      <c r="C29" s="158" t="s">
        <v>16</v>
      </c>
      <c r="D29" s="159">
        <f t="shared" si="0"/>
        <v>0.58680555555555536</v>
      </c>
      <c r="E29" s="209" t="s">
        <v>135</v>
      </c>
      <c r="F29" s="209"/>
      <c r="G29" s="209"/>
      <c r="H29" s="209"/>
      <c r="I29" s="160">
        <v>3.472222222222222E-3</v>
      </c>
    </row>
    <row r="30" spans="1:9" s="8" customFormat="1" ht="12">
      <c r="A30" s="6"/>
      <c r="B30" s="157">
        <f t="shared" si="1"/>
        <v>0.58680555555555536</v>
      </c>
      <c r="C30" s="158" t="s">
        <v>16</v>
      </c>
      <c r="D30" s="159">
        <f t="shared" si="0"/>
        <v>0.59027777777777757</v>
      </c>
      <c r="E30" s="209" t="s">
        <v>136</v>
      </c>
      <c r="F30" s="209"/>
      <c r="G30" s="209"/>
      <c r="H30" s="209"/>
      <c r="I30" s="160">
        <v>3.472222222222222E-3</v>
      </c>
    </row>
    <row r="31" spans="1:9" s="8" customFormat="1" ht="12">
      <c r="A31" s="6"/>
      <c r="B31" s="157">
        <f t="shared" si="1"/>
        <v>0.59027777777777757</v>
      </c>
      <c r="C31" s="158" t="s">
        <v>16</v>
      </c>
      <c r="D31" s="159">
        <f t="shared" si="0"/>
        <v>0.59374999999999978</v>
      </c>
      <c r="E31" s="209" t="s">
        <v>121</v>
      </c>
      <c r="F31" s="209"/>
      <c r="G31" s="209"/>
      <c r="H31" s="209"/>
      <c r="I31" s="160">
        <v>3.472222222222222E-3</v>
      </c>
    </row>
    <row r="32" spans="1:9" s="8" customFormat="1" ht="12" customHeight="1">
      <c r="A32" s="6">
        <v>6</v>
      </c>
      <c r="B32" s="157">
        <f t="shared" si="1"/>
        <v>0.59374999999999978</v>
      </c>
      <c r="C32" s="158" t="s">
        <v>16</v>
      </c>
      <c r="D32" s="159">
        <f t="shared" si="0"/>
        <v>0.62152777777777757</v>
      </c>
      <c r="E32" s="209" t="s">
        <v>134</v>
      </c>
      <c r="F32" s="209"/>
      <c r="G32" s="209"/>
      <c r="H32" s="209"/>
      <c r="I32" s="160">
        <v>2.7777777777777776E-2</v>
      </c>
    </row>
    <row r="33" spans="1:253" s="8" customFormat="1" ht="12" customHeight="1">
      <c r="A33" s="6"/>
      <c r="B33" s="157">
        <f t="shared" si="1"/>
        <v>0.62152777777777757</v>
      </c>
      <c r="C33" s="158" t="s">
        <v>16</v>
      </c>
      <c r="D33" s="159">
        <f t="shared" si="0"/>
        <v>0.62499999999999978</v>
      </c>
      <c r="E33" s="209" t="s">
        <v>135</v>
      </c>
      <c r="F33" s="209"/>
      <c r="G33" s="209"/>
      <c r="H33" s="209"/>
      <c r="I33" s="160">
        <v>3.472222222222222E-3</v>
      </c>
    </row>
    <row r="34" spans="1:253" s="8" customFormat="1" ht="12">
      <c r="A34" s="6"/>
      <c r="B34" s="157">
        <f t="shared" si="1"/>
        <v>0.62499999999999978</v>
      </c>
      <c r="C34" s="158" t="s">
        <v>16</v>
      </c>
      <c r="D34" s="159">
        <f t="shared" si="0"/>
        <v>0.62847222222222199</v>
      </c>
      <c r="E34" s="209" t="s">
        <v>136</v>
      </c>
      <c r="F34" s="209"/>
      <c r="G34" s="209"/>
      <c r="H34" s="209"/>
      <c r="I34" s="160">
        <v>3.472222222222222E-3</v>
      </c>
    </row>
    <row r="35" spans="1:253" s="8" customFormat="1" ht="12">
      <c r="A35" s="6"/>
      <c r="B35" s="157">
        <f t="shared" si="1"/>
        <v>0.62847222222222199</v>
      </c>
      <c r="C35" s="158" t="s">
        <v>16</v>
      </c>
      <c r="D35" s="159">
        <f t="shared" si="0"/>
        <v>0.6319444444444442</v>
      </c>
      <c r="E35" s="209" t="s">
        <v>121</v>
      </c>
      <c r="F35" s="209"/>
      <c r="G35" s="209"/>
      <c r="H35" s="209"/>
      <c r="I35" s="160">
        <v>3.472222222222222E-3</v>
      </c>
    </row>
    <row r="36" spans="1:253" s="8" customFormat="1" ht="12" customHeight="1">
      <c r="A36" s="6">
        <v>7</v>
      </c>
      <c r="B36" s="157">
        <f t="shared" si="1"/>
        <v>0.6319444444444442</v>
      </c>
      <c r="C36" s="158" t="s">
        <v>16</v>
      </c>
      <c r="D36" s="159">
        <f t="shared" si="0"/>
        <v>0.65972222222222199</v>
      </c>
      <c r="E36" s="209" t="s">
        <v>134</v>
      </c>
      <c r="F36" s="209"/>
      <c r="G36" s="209"/>
      <c r="H36" s="209"/>
      <c r="I36" s="160">
        <v>2.7777777777777776E-2</v>
      </c>
    </row>
    <row r="37" spans="1:253" s="8" customFormat="1" ht="12" customHeight="1">
      <c r="A37" s="6"/>
      <c r="B37" s="157">
        <f t="shared" si="1"/>
        <v>0.65972222222222199</v>
      </c>
      <c r="C37" s="158" t="s">
        <v>16</v>
      </c>
      <c r="D37" s="159">
        <f t="shared" si="0"/>
        <v>0.6631944444444442</v>
      </c>
      <c r="E37" s="209" t="s">
        <v>135</v>
      </c>
      <c r="F37" s="209"/>
      <c r="G37" s="209"/>
      <c r="H37" s="209"/>
      <c r="I37" s="160">
        <v>3.472222222222222E-3</v>
      </c>
    </row>
    <row r="38" spans="1:253" s="8" customFormat="1" ht="12">
      <c r="A38" s="6"/>
      <c r="B38" s="157">
        <f t="shared" si="1"/>
        <v>0.6631944444444442</v>
      </c>
      <c r="C38" s="158" t="s">
        <v>16</v>
      </c>
      <c r="D38" s="159">
        <f t="shared" si="0"/>
        <v>0.66666666666666641</v>
      </c>
      <c r="E38" s="209" t="s">
        <v>136</v>
      </c>
      <c r="F38" s="209"/>
      <c r="G38" s="209"/>
      <c r="H38" s="209"/>
      <c r="I38" s="160">
        <v>3.472222222222222E-3</v>
      </c>
    </row>
    <row r="39" spans="1:253" s="8" customFormat="1" ht="12">
      <c r="A39" s="6"/>
      <c r="B39" s="157">
        <f t="shared" si="1"/>
        <v>0.66666666666666641</v>
      </c>
      <c r="C39" s="158" t="s">
        <v>16</v>
      </c>
      <c r="D39" s="159">
        <f t="shared" si="0"/>
        <v>0.67013888888888862</v>
      </c>
      <c r="E39" s="209" t="s">
        <v>121</v>
      </c>
      <c r="F39" s="209"/>
      <c r="G39" s="209"/>
      <c r="H39" s="209"/>
      <c r="I39" s="160">
        <v>3.472222222222222E-3</v>
      </c>
    </row>
    <row r="40" spans="1:253" s="8" customFormat="1" ht="12" customHeight="1">
      <c r="A40" s="6">
        <v>8</v>
      </c>
      <c r="B40" s="157">
        <f t="shared" si="1"/>
        <v>0.67013888888888862</v>
      </c>
      <c r="C40" s="158" t="s">
        <v>16</v>
      </c>
      <c r="D40" s="159">
        <f t="shared" si="0"/>
        <v>0.69791666666666641</v>
      </c>
      <c r="E40" s="209" t="s">
        <v>134</v>
      </c>
      <c r="F40" s="209"/>
      <c r="G40" s="209"/>
      <c r="H40" s="209"/>
      <c r="I40" s="160">
        <v>2.7777777777777776E-2</v>
      </c>
    </row>
    <row r="41" spans="1:253" s="8" customFormat="1" ht="12" customHeight="1">
      <c r="A41" s="6"/>
      <c r="B41" s="157">
        <f t="shared" si="1"/>
        <v>0.69791666666666641</v>
      </c>
      <c r="C41" s="158" t="s">
        <v>16</v>
      </c>
      <c r="D41" s="159">
        <f t="shared" si="0"/>
        <v>0.70138888888888862</v>
      </c>
      <c r="E41" s="209" t="s">
        <v>135</v>
      </c>
      <c r="F41" s="209"/>
      <c r="G41" s="209"/>
      <c r="H41" s="209"/>
      <c r="I41" s="160">
        <v>3.472222222222222E-3</v>
      </c>
    </row>
    <row r="42" spans="1:253" s="8" customFormat="1" ht="12">
      <c r="A42" s="6"/>
      <c r="B42" s="157">
        <f t="shared" si="1"/>
        <v>0.70138888888888862</v>
      </c>
      <c r="C42" s="158" t="s">
        <v>16</v>
      </c>
      <c r="D42" s="159">
        <f t="shared" si="0"/>
        <v>0.71527777777777746</v>
      </c>
      <c r="E42" s="221" t="s">
        <v>130</v>
      </c>
      <c r="F42" s="221"/>
      <c r="G42" s="221"/>
      <c r="H42" s="221"/>
      <c r="I42" s="160">
        <v>1.3888888888888888E-2</v>
      </c>
    </row>
    <row r="43" spans="1:253" s="8" customFormat="1" ht="12">
      <c r="A43" s="6"/>
      <c r="B43" s="157"/>
      <c r="C43" s="158"/>
      <c r="D43" s="159"/>
      <c r="E43" s="220" t="s">
        <v>137</v>
      </c>
      <c r="F43" s="220"/>
      <c r="G43" s="220"/>
      <c r="H43" s="220"/>
      <c r="I43" s="160"/>
    </row>
    <row r="44" spans="1:253" s="8" customFormat="1" ht="50.25" customHeight="1">
      <c r="A44" s="6"/>
      <c r="B44" s="161"/>
      <c r="C44" s="162"/>
      <c r="D44" s="161"/>
      <c r="E44" s="163"/>
      <c r="F44" s="163"/>
      <c r="G44" s="163"/>
      <c r="H44" s="163"/>
      <c r="I44" s="164"/>
    </row>
    <row r="45" spans="1:253" ht="25.5">
      <c r="A45" s="165"/>
      <c r="B45" s="165"/>
      <c r="C45" s="165"/>
      <c r="D45" s="165"/>
      <c r="E45" s="166" t="s">
        <v>6</v>
      </c>
      <c r="F45" s="166" t="s">
        <v>7</v>
      </c>
      <c r="G45" s="166" t="s">
        <v>8</v>
      </c>
      <c r="H45" s="167"/>
      <c r="I45" s="165"/>
    </row>
    <row r="46" spans="1:253">
      <c r="A46" s="3"/>
      <c r="B46" s="168"/>
      <c r="C46" s="168"/>
      <c r="D46" s="168"/>
      <c r="E46" s="169" t="s">
        <v>145</v>
      </c>
      <c r="F46" s="170"/>
      <c r="G46" s="171"/>
      <c r="H46" s="18"/>
      <c r="I46" s="172"/>
      <c r="J46" s="18"/>
      <c r="K46" s="18"/>
      <c r="L46" s="18"/>
      <c r="M46" s="19"/>
      <c r="O46" s="20"/>
      <c r="Q46" s="18"/>
      <c r="R46" s="18"/>
      <c r="S46" s="18"/>
      <c r="T46" s="19"/>
      <c r="V46" s="20"/>
      <c r="X46" s="18"/>
      <c r="Y46" s="18"/>
      <c r="Z46" s="18"/>
      <c r="AA46" s="19"/>
      <c r="AC46" s="20"/>
      <c r="AE46" s="18"/>
      <c r="AF46" s="18"/>
      <c r="AG46" s="18"/>
      <c r="AH46" s="19"/>
      <c r="AJ46" s="20"/>
      <c r="AL46" s="18"/>
      <c r="AM46" s="18"/>
      <c r="AN46" s="18"/>
      <c r="AO46" s="19"/>
      <c r="AQ46" s="20"/>
      <c r="AS46" s="18"/>
      <c r="AT46" s="18"/>
      <c r="AU46" s="18"/>
      <c r="AV46" s="19"/>
      <c r="AX46" s="20"/>
      <c r="AZ46" s="18"/>
      <c r="BA46" s="18"/>
      <c r="BB46" s="18"/>
      <c r="BC46" s="19"/>
      <c r="BE46" s="20"/>
      <c r="BG46" s="18"/>
      <c r="BH46" s="18"/>
      <c r="BI46" s="18"/>
      <c r="BJ46" s="19"/>
      <c r="BL46" s="20"/>
      <c r="BN46" s="18"/>
      <c r="BO46" s="18"/>
      <c r="BP46" s="18"/>
      <c r="BQ46" s="19"/>
      <c r="BS46" s="20"/>
      <c r="BU46" s="18"/>
      <c r="BV46" s="18"/>
      <c r="BW46" s="18"/>
      <c r="BX46" s="19"/>
      <c r="BZ46" s="20"/>
      <c r="CB46" s="18"/>
      <c r="CC46" s="18"/>
      <c r="CD46" s="18"/>
      <c r="CE46" s="19"/>
      <c r="CG46" s="20"/>
      <c r="CI46" s="18"/>
      <c r="CJ46" s="18"/>
      <c r="CK46" s="18"/>
      <c r="CL46" s="19"/>
      <c r="CN46" s="20"/>
      <c r="CP46" s="18"/>
      <c r="CQ46" s="18"/>
      <c r="CR46" s="18"/>
      <c r="CS46" s="19"/>
      <c r="CU46" s="20"/>
      <c r="CW46" s="18"/>
      <c r="CX46" s="18"/>
      <c r="CY46" s="18"/>
      <c r="CZ46" s="19"/>
      <c r="DB46" s="20"/>
      <c r="DD46" s="18"/>
      <c r="DE46" s="18"/>
      <c r="DF46" s="18"/>
      <c r="DG46" s="19"/>
      <c r="DI46" s="20"/>
      <c r="DK46" s="18"/>
      <c r="DL46" s="18"/>
      <c r="DM46" s="18"/>
      <c r="DN46" s="19"/>
      <c r="DP46" s="20"/>
      <c r="DR46" s="18"/>
      <c r="DS46" s="18"/>
      <c r="DT46" s="18"/>
      <c r="DU46" s="19"/>
      <c r="DW46" s="20"/>
      <c r="DY46" s="18"/>
      <c r="DZ46" s="18"/>
      <c r="EA46" s="18"/>
      <c r="EB46" s="19"/>
      <c r="ED46" s="20"/>
      <c r="EF46" s="18"/>
      <c r="EG46" s="18"/>
      <c r="EH46" s="18"/>
      <c r="EI46" s="19"/>
      <c r="EK46" s="20"/>
      <c r="EM46" s="18"/>
      <c r="EN46" s="18"/>
      <c r="EO46" s="18"/>
      <c r="EP46" s="19"/>
      <c r="ER46" s="20"/>
      <c r="ET46" s="18"/>
      <c r="EU46" s="18"/>
      <c r="EV46" s="18"/>
      <c r="EW46" s="19"/>
      <c r="EY46" s="20"/>
      <c r="FA46" s="18"/>
      <c r="FB46" s="18"/>
      <c r="FC46" s="18"/>
      <c r="FD46" s="19"/>
      <c r="FF46" s="20"/>
      <c r="FH46" s="18"/>
      <c r="FI46" s="18"/>
      <c r="FJ46" s="18"/>
      <c r="FK46" s="19"/>
      <c r="FM46" s="20"/>
      <c r="FO46" s="18"/>
      <c r="FP46" s="18"/>
      <c r="FQ46" s="18"/>
      <c r="FR46" s="19"/>
      <c r="FT46" s="20"/>
      <c r="FV46" s="18"/>
      <c r="FW46" s="18"/>
      <c r="FX46" s="18"/>
      <c r="FY46" s="19"/>
      <c r="GA46" s="20"/>
      <c r="GC46" s="18"/>
      <c r="GD46" s="18"/>
      <c r="GE46" s="18"/>
      <c r="GF46" s="19"/>
      <c r="GH46" s="20"/>
      <c r="GJ46" s="18"/>
      <c r="GK46" s="18"/>
      <c r="GL46" s="18"/>
      <c r="GM46" s="19"/>
      <c r="GO46" s="20"/>
      <c r="GQ46" s="18"/>
      <c r="GR46" s="18"/>
      <c r="GS46" s="18"/>
      <c r="GT46" s="19"/>
      <c r="GV46" s="20"/>
      <c r="GX46" s="18"/>
      <c r="GY46" s="18"/>
      <c r="GZ46" s="18"/>
      <c r="HA46" s="19"/>
      <c r="HC46" s="20"/>
      <c r="HE46" s="18"/>
      <c r="HF46" s="18"/>
      <c r="HG46" s="18"/>
      <c r="HH46" s="19"/>
      <c r="HJ46" s="20"/>
      <c r="HL46" s="18"/>
      <c r="HM46" s="18"/>
      <c r="HN46" s="18"/>
      <c r="HO46" s="19"/>
      <c r="HQ46" s="20"/>
      <c r="HS46" s="18"/>
      <c r="HT46" s="18"/>
      <c r="HU46" s="18"/>
      <c r="HV46" s="19"/>
      <c r="HX46" s="20"/>
      <c r="HZ46" s="18"/>
      <c r="IA46" s="18"/>
      <c r="IB46" s="18"/>
      <c r="IC46" s="19"/>
      <c r="IE46" s="20"/>
      <c r="IG46" s="18"/>
      <c r="IH46" s="18"/>
      <c r="II46" s="18"/>
      <c r="IJ46" s="19"/>
      <c r="IL46" s="20"/>
      <c r="IN46" s="18"/>
      <c r="IO46" s="18"/>
      <c r="IP46" s="18"/>
      <c r="IQ46" s="19"/>
      <c r="IS46" s="20"/>
    </row>
    <row r="47" spans="1:253">
      <c r="A47" s="172"/>
      <c r="B47" s="172"/>
      <c r="C47" s="172"/>
      <c r="D47" s="172"/>
      <c r="E47" s="90" t="s">
        <v>81</v>
      </c>
      <c r="F47" s="84" t="s">
        <v>15</v>
      </c>
      <c r="G47" s="177">
        <v>1</v>
      </c>
      <c r="H47" s="173"/>
      <c r="I47" s="174"/>
    </row>
    <row r="48" spans="1:253">
      <c r="A48" s="3"/>
      <c r="B48" s="168"/>
      <c r="C48" s="168"/>
      <c r="D48" s="168"/>
      <c r="E48" s="169" t="s">
        <v>140</v>
      </c>
      <c r="F48" s="170"/>
      <c r="G48" s="171"/>
      <c r="H48" s="18"/>
      <c r="I48" s="172"/>
      <c r="J48" s="18"/>
      <c r="K48" s="18"/>
      <c r="L48" s="18"/>
      <c r="M48" s="19"/>
      <c r="O48" s="20"/>
      <c r="Q48" s="18"/>
      <c r="R48" s="18"/>
      <c r="S48" s="18"/>
      <c r="T48" s="19"/>
      <c r="V48" s="20"/>
      <c r="X48" s="18"/>
      <c r="Y48" s="18"/>
      <c r="Z48" s="18"/>
      <c r="AA48" s="19"/>
      <c r="AC48" s="20"/>
      <c r="AE48" s="18"/>
      <c r="AF48" s="18"/>
      <c r="AG48" s="18"/>
      <c r="AH48" s="19"/>
      <c r="AJ48" s="20"/>
      <c r="AL48" s="18"/>
      <c r="AM48" s="18"/>
      <c r="AN48" s="18"/>
      <c r="AO48" s="19"/>
      <c r="AQ48" s="20"/>
      <c r="AS48" s="18"/>
      <c r="AT48" s="18"/>
      <c r="AU48" s="18"/>
      <c r="AV48" s="19"/>
      <c r="AX48" s="20"/>
      <c r="AZ48" s="18"/>
      <c r="BA48" s="18"/>
      <c r="BB48" s="18"/>
      <c r="BC48" s="19"/>
      <c r="BE48" s="20"/>
      <c r="BG48" s="18"/>
      <c r="BH48" s="18"/>
      <c r="BI48" s="18"/>
      <c r="BJ48" s="19"/>
      <c r="BL48" s="20"/>
      <c r="BN48" s="18"/>
      <c r="BO48" s="18"/>
      <c r="BP48" s="18"/>
      <c r="BQ48" s="19"/>
      <c r="BS48" s="20"/>
      <c r="BU48" s="18"/>
      <c r="BV48" s="18"/>
      <c r="BW48" s="18"/>
      <c r="BX48" s="19"/>
      <c r="BZ48" s="20"/>
      <c r="CB48" s="18"/>
      <c r="CC48" s="18"/>
      <c r="CD48" s="18"/>
      <c r="CE48" s="19"/>
      <c r="CG48" s="20"/>
      <c r="CI48" s="18"/>
      <c r="CJ48" s="18"/>
      <c r="CK48" s="18"/>
      <c r="CL48" s="19"/>
      <c r="CN48" s="20"/>
      <c r="CP48" s="18"/>
      <c r="CQ48" s="18"/>
      <c r="CR48" s="18"/>
      <c r="CS48" s="19"/>
      <c r="CU48" s="20"/>
      <c r="CW48" s="18"/>
      <c r="CX48" s="18"/>
      <c r="CY48" s="18"/>
      <c r="CZ48" s="19"/>
      <c r="DB48" s="20"/>
      <c r="DD48" s="18"/>
      <c r="DE48" s="18"/>
      <c r="DF48" s="18"/>
      <c r="DG48" s="19"/>
      <c r="DI48" s="20"/>
      <c r="DK48" s="18"/>
      <c r="DL48" s="18"/>
      <c r="DM48" s="18"/>
      <c r="DN48" s="19"/>
      <c r="DP48" s="20"/>
      <c r="DR48" s="18"/>
      <c r="DS48" s="18"/>
      <c r="DT48" s="18"/>
      <c r="DU48" s="19"/>
      <c r="DW48" s="20"/>
      <c r="DY48" s="18"/>
      <c r="DZ48" s="18"/>
      <c r="EA48" s="18"/>
      <c r="EB48" s="19"/>
      <c r="ED48" s="20"/>
      <c r="EF48" s="18"/>
      <c r="EG48" s="18"/>
      <c r="EH48" s="18"/>
      <c r="EI48" s="19"/>
      <c r="EK48" s="20"/>
      <c r="EM48" s="18"/>
      <c r="EN48" s="18"/>
      <c r="EO48" s="18"/>
      <c r="EP48" s="19"/>
      <c r="ER48" s="20"/>
      <c r="ET48" s="18"/>
      <c r="EU48" s="18"/>
      <c r="EV48" s="18"/>
      <c r="EW48" s="19"/>
      <c r="EY48" s="20"/>
      <c r="FA48" s="18"/>
      <c r="FB48" s="18"/>
      <c r="FC48" s="18"/>
      <c r="FD48" s="19"/>
      <c r="FF48" s="20"/>
      <c r="FH48" s="18"/>
      <c r="FI48" s="18"/>
      <c r="FJ48" s="18"/>
      <c r="FK48" s="19"/>
      <c r="FM48" s="20"/>
      <c r="FO48" s="18"/>
      <c r="FP48" s="18"/>
      <c r="FQ48" s="18"/>
      <c r="FR48" s="19"/>
      <c r="FT48" s="20"/>
      <c r="FV48" s="18"/>
      <c r="FW48" s="18"/>
      <c r="FX48" s="18"/>
      <c r="FY48" s="19"/>
      <c r="GA48" s="20"/>
      <c r="GC48" s="18"/>
      <c r="GD48" s="18"/>
      <c r="GE48" s="18"/>
      <c r="GF48" s="19"/>
      <c r="GH48" s="20"/>
      <c r="GJ48" s="18"/>
      <c r="GK48" s="18"/>
      <c r="GL48" s="18"/>
      <c r="GM48" s="19"/>
      <c r="GO48" s="20"/>
      <c r="GQ48" s="18"/>
      <c r="GR48" s="18"/>
      <c r="GS48" s="18"/>
      <c r="GT48" s="19"/>
      <c r="GV48" s="20"/>
      <c r="GX48" s="18"/>
      <c r="GY48" s="18"/>
      <c r="GZ48" s="18"/>
      <c r="HA48" s="19"/>
      <c r="HC48" s="20"/>
      <c r="HE48" s="18"/>
      <c r="HF48" s="18"/>
      <c r="HG48" s="18"/>
      <c r="HH48" s="19"/>
      <c r="HJ48" s="20"/>
      <c r="HL48" s="18"/>
      <c r="HM48" s="18"/>
      <c r="HN48" s="18"/>
      <c r="HO48" s="19"/>
      <c r="HQ48" s="20"/>
      <c r="HS48" s="18"/>
      <c r="HT48" s="18"/>
      <c r="HU48" s="18"/>
      <c r="HV48" s="19"/>
      <c r="HX48" s="20"/>
      <c r="HZ48" s="18"/>
      <c r="IA48" s="18"/>
      <c r="IB48" s="18"/>
      <c r="IC48" s="19"/>
      <c r="IE48" s="20"/>
      <c r="IG48" s="18"/>
      <c r="IH48" s="18"/>
      <c r="II48" s="18"/>
      <c r="IJ48" s="19"/>
      <c r="IL48" s="20"/>
      <c r="IN48" s="18"/>
      <c r="IO48" s="18"/>
      <c r="IP48" s="18"/>
      <c r="IQ48" s="19"/>
      <c r="IS48" s="20"/>
    </row>
    <row r="49" spans="1:253" s="178" customFormat="1" ht="25.5">
      <c r="E49" s="185" t="s">
        <v>82</v>
      </c>
      <c r="F49" s="186" t="s">
        <v>23</v>
      </c>
      <c r="G49" s="190">
        <v>2</v>
      </c>
      <c r="H49" s="179"/>
    </row>
    <row r="50" spans="1:253">
      <c r="A50" s="172"/>
      <c r="B50" s="172"/>
      <c r="C50" s="172"/>
      <c r="D50" s="172"/>
      <c r="E50" s="91" t="s">
        <v>138</v>
      </c>
      <c r="F50" s="127" t="s">
        <v>23</v>
      </c>
      <c r="G50" s="137">
        <f>SUM(G48:G49)</f>
        <v>2</v>
      </c>
      <c r="H50" s="18"/>
      <c r="I50" s="172"/>
    </row>
    <row r="52" spans="1:253">
      <c r="D52" s="181" t="s">
        <v>112</v>
      </c>
    </row>
    <row r="53" spans="1:253" ht="31.5" customHeight="1">
      <c r="B53" s="76"/>
      <c r="D53" s="76"/>
      <c r="E53" s="76" t="s">
        <v>113</v>
      </c>
      <c r="F53" t="s">
        <v>115</v>
      </c>
    </row>
    <row r="54" spans="1:253" ht="31.5" customHeight="1">
      <c r="B54" s="76"/>
      <c r="D54" s="76"/>
      <c r="E54" s="76" t="s">
        <v>113</v>
      </c>
      <c r="F54" t="s">
        <v>116</v>
      </c>
    </row>
    <row r="55" spans="1:253" ht="30" customHeight="1">
      <c r="E55" s="76" t="s">
        <v>113</v>
      </c>
      <c r="F55" t="s">
        <v>42</v>
      </c>
    </row>
    <row r="56" spans="1:253" ht="44.25" customHeight="1">
      <c r="E56" s="76"/>
    </row>
    <row r="57" spans="1:253" customFormat="1">
      <c r="C57" s="1"/>
      <c r="E57" s="76"/>
      <c r="I57" s="15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</sheetData>
  <mergeCells count="40">
    <mergeCell ref="E9:H9"/>
    <mergeCell ref="E1:H1"/>
    <mergeCell ref="E5:H5"/>
    <mergeCell ref="B7:D7"/>
    <mergeCell ref="E7:H7"/>
    <mergeCell ref="E8:H8"/>
    <mergeCell ref="E21:H21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33:H33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40:H40"/>
    <mergeCell ref="E41:H41"/>
    <mergeCell ref="E42:H42"/>
    <mergeCell ref="E43:H43"/>
    <mergeCell ref="E34:H34"/>
    <mergeCell ref="E35:H35"/>
    <mergeCell ref="E36:H36"/>
    <mergeCell ref="E37:H37"/>
    <mergeCell ref="E38:H38"/>
    <mergeCell ref="E39:H39"/>
  </mergeCells>
  <pageMargins left="0.65" right="0.43" top="0.32291666666666669" bottom="0.59" header="0.24" footer="0.24"/>
  <pageSetup paperSize="9" orientation="portrait" verticalDpi="0" r:id="rId1"/>
  <headerFooter alignWithMargins="0"/>
  <legacyDrawing r:id="rId2"/>
  <oleObjects>
    <oleObject progId="Word.Document.12" shapeId="5121" r:id="rId3"/>
    <oleObject progId="Word.Document.12" shapeId="5122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Layout" zoomScaleNormal="100" workbookViewId="0">
      <selection activeCell="G22" sqref="G22"/>
    </sheetView>
  </sheetViews>
  <sheetFormatPr defaultRowHeight="12.75" outlineLevelCol="1"/>
  <cols>
    <col min="1" max="1" width="4.140625" customWidth="1"/>
    <col min="2" max="2" width="11.7109375" customWidth="1"/>
    <col min="3" max="3" width="33.140625" customWidth="1"/>
    <col min="4" max="4" width="9.140625" customWidth="1"/>
    <col min="5" max="5" width="10" customWidth="1"/>
    <col min="6" max="6" width="10.140625" customWidth="1"/>
    <col min="7" max="7" width="9.85546875" customWidth="1"/>
    <col min="8" max="8" width="9.140625" style="3" customWidth="1" outlineLevel="1"/>
    <col min="9" max="16384" width="9.140625" style="3"/>
  </cols>
  <sheetData>
    <row r="1" spans="1:8" ht="15.75">
      <c r="A1" s="1"/>
      <c r="B1" s="2"/>
      <c r="C1" s="205" t="s">
        <v>67</v>
      </c>
      <c r="D1" s="205"/>
      <c r="E1" s="205"/>
      <c r="F1" s="205"/>
      <c r="G1" s="1"/>
    </row>
    <row r="2" spans="1:8" s="4" customFormat="1">
      <c r="B2" s="5"/>
      <c r="C2" s="206" t="s">
        <v>68</v>
      </c>
      <c r="D2" s="206"/>
      <c r="E2" s="206"/>
      <c r="F2" s="206"/>
      <c r="G2" s="5"/>
    </row>
    <row r="3" spans="1:8" s="4" customFormat="1">
      <c r="A3" s="138"/>
      <c r="B3" s="138"/>
      <c r="C3" s="138"/>
      <c r="D3" s="138"/>
      <c r="E3" s="138"/>
      <c r="F3" s="138"/>
      <c r="G3" s="138"/>
    </row>
    <row r="4" spans="1:8" s="8" customFormat="1" ht="12">
      <c r="A4" s="6"/>
      <c r="B4" s="7" t="s">
        <v>2</v>
      </c>
      <c r="D4" s="6"/>
      <c r="E4" s="7" t="s">
        <v>3</v>
      </c>
      <c r="F4" s="6"/>
      <c r="G4" s="6"/>
    </row>
    <row r="6" spans="1:8" ht="38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10"/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8" ht="22.5" customHeight="1">
      <c r="A8" s="12"/>
      <c r="B8" s="13"/>
      <c r="C8" s="14" t="s">
        <v>39</v>
      </c>
      <c r="D8" s="13"/>
      <c r="E8" s="15"/>
      <c r="G8" s="15"/>
      <c r="H8"/>
    </row>
    <row r="9" spans="1:8" s="122" customFormat="1">
      <c r="A9" s="116">
        <v>1</v>
      </c>
      <c r="B9" s="117"/>
      <c r="C9" s="117" t="s">
        <v>69</v>
      </c>
      <c r="D9" s="118" t="s">
        <v>23</v>
      </c>
      <c r="E9" s="119">
        <v>0.64</v>
      </c>
      <c r="F9" s="120"/>
      <c r="G9" s="121"/>
    </row>
    <row r="10" spans="1:8" s="122" customFormat="1">
      <c r="A10" s="116">
        <v>2</v>
      </c>
      <c r="B10" s="117"/>
      <c r="C10" s="117" t="s">
        <v>70</v>
      </c>
      <c r="D10" s="118" t="s">
        <v>23</v>
      </c>
      <c r="E10" s="119">
        <v>0.76</v>
      </c>
      <c r="F10" s="123"/>
      <c r="G10" s="121"/>
    </row>
    <row r="11" spans="1:8" s="122" customFormat="1">
      <c r="A11" s="116">
        <v>3</v>
      </c>
      <c r="B11" s="117"/>
      <c r="C11" s="117" t="s">
        <v>71</v>
      </c>
      <c r="D11" s="118" t="s">
        <v>23</v>
      </c>
      <c r="E11" s="119">
        <v>0.8</v>
      </c>
      <c r="F11" s="123"/>
      <c r="G11" s="121"/>
    </row>
    <row r="12" spans="1:8" s="4" customFormat="1">
      <c r="A12" s="45"/>
      <c r="B12" s="46"/>
      <c r="C12" s="46"/>
      <c r="D12" s="47" t="s">
        <v>24</v>
      </c>
      <c r="E12" s="48">
        <f>SUM(E9:E11)</f>
        <v>2.2000000000000002</v>
      </c>
      <c r="F12" s="49">
        <v>66.91</v>
      </c>
      <c r="G12" s="78">
        <f>ROUND(E12*F12,2)</f>
        <v>147.19999999999999</v>
      </c>
    </row>
    <row r="13" spans="1:8">
      <c r="A13" s="51"/>
      <c r="B13" s="52"/>
      <c r="C13" s="52"/>
      <c r="D13" s="53" t="s">
        <v>72</v>
      </c>
      <c r="E13" s="54"/>
      <c r="F13" s="55"/>
      <c r="G13" s="56">
        <f>G12*42%</f>
        <v>61.823999999999991</v>
      </c>
    </row>
    <row r="14" spans="1:8" s="4" customFormat="1">
      <c r="A14" s="207" t="s">
        <v>20</v>
      </c>
      <c r="B14" s="208"/>
      <c r="C14" s="208"/>
      <c r="D14" s="208"/>
      <c r="E14" s="139"/>
      <c r="F14" s="139"/>
      <c r="G14" s="38">
        <f>ROUND(G12+G13,2)</f>
        <v>209.02</v>
      </c>
      <c r="H14"/>
    </row>
    <row r="15" spans="1:8" customFormat="1">
      <c r="A15" s="62"/>
      <c r="B15" s="63"/>
      <c r="C15" s="63"/>
      <c r="D15" s="64"/>
      <c r="E15" s="63"/>
      <c r="F15" s="65" t="s">
        <v>28</v>
      </c>
      <c r="G15" s="66">
        <f>ROUND(G14,2)</f>
        <v>209.02</v>
      </c>
      <c r="H15" s="3"/>
    </row>
    <row r="16" spans="1:8" customFormat="1">
      <c r="A16" s="62"/>
      <c r="B16" s="63"/>
      <c r="C16" s="63"/>
      <c r="D16" s="64"/>
      <c r="E16" s="63"/>
      <c r="F16" s="65" t="s">
        <v>27</v>
      </c>
      <c r="G16" s="66">
        <f>ROUND((G14)*22%,2)</f>
        <v>45.98</v>
      </c>
      <c r="H16" s="3"/>
    </row>
    <row r="17" spans="1:8" customFormat="1">
      <c r="A17" s="62"/>
      <c r="B17" s="63"/>
      <c r="C17" s="63"/>
      <c r="D17" s="64"/>
      <c r="E17" s="63"/>
      <c r="F17" s="65" t="s">
        <v>155</v>
      </c>
      <c r="G17" s="66">
        <f>ROUND(G14*64.6%,2)</f>
        <v>135.03</v>
      </c>
      <c r="H17" s="3"/>
    </row>
    <row r="18" spans="1:8" customFormat="1">
      <c r="A18" s="62"/>
      <c r="B18" s="63"/>
      <c r="C18" s="63"/>
      <c r="D18" s="64"/>
      <c r="E18" s="63"/>
      <c r="F18" s="65" t="s">
        <v>28</v>
      </c>
      <c r="G18" s="66">
        <f>ROUND(G15+G16+G17,2)</f>
        <v>390.03</v>
      </c>
      <c r="H18" s="3"/>
    </row>
    <row r="19" spans="1:8" customFormat="1">
      <c r="A19" s="62"/>
      <c r="B19" s="63"/>
      <c r="C19" s="63"/>
      <c r="D19" s="63"/>
      <c r="E19" s="63"/>
      <c r="F19" s="65" t="s">
        <v>29</v>
      </c>
      <c r="G19" s="66">
        <f>G18*12%</f>
        <v>46.803599999999996</v>
      </c>
      <c r="H19" s="3"/>
    </row>
    <row r="20" spans="1:8" customFormat="1">
      <c r="A20" s="62"/>
      <c r="B20" s="63"/>
      <c r="C20" s="63"/>
      <c r="D20" s="64"/>
      <c r="E20" s="63"/>
      <c r="F20" s="67" t="s">
        <v>30</v>
      </c>
      <c r="G20" s="68">
        <f>G18+G19</f>
        <v>436.83359999999999</v>
      </c>
      <c r="H20" s="3"/>
    </row>
    <row r="21" spans="1:8" customFormat="1">
      <c r="A21" s="62"/>
      <c r="B21" s="63"/>
      <c r="C21" s="63"/>
      <c r="D21" s="64"/>
      <c r="E21" s="63"/>
      <c r="F21" s="65" t="s">
        <v>31</v>
      </c>
      <c r="G21" s="66">
        <f>ROUND(G20/5,2)</f>
        <v>87.37</v>
      </c>
      <c r="H21" s="3"/>
    </row>
    <row r="22" spans="1:8">
      <c r="A22" s="70"/>
      <c r="B22" s="71"/>
      <c r="C22" s="71"/>
      <c r="D22" s="72"/>
      <c r="E22" s="71"/>
      <c r="F22" s="73" t="s">
        <v>32</v>
      </c>
      <c r="G22" s="74">
        <f>G20+G21</f>
        <v>524.20360000000005</v>
      </c>
    </row>
    <row r="23" spans="1:8">
      <c r="B23" s="75"/>
      <c r="C23" s="75"/>
    </row>
    <row r="24" spans="1:8">
      <c r="B24" s="75"/>
      <c r="C24" s="75"/>
    </row>
    <row r="25" spans="1:8">
      <c r="B25" s="215" t="s">
        <v>33</v>
      </c>
      <c r="C25" s="215"/>
      <c r="D25" s="215"/>
      <c r="E25" t="s">
        <v>34</v>
      </c>
    </row>
    <row r="26" spans="1:8">
      <c r="C26" s="76"/>
    </row>
    <row r="27" spans="1:8">
      <c r="B27" s="140" t="s">
        <v>73</v>
      </c>
      <c r="C27" s="140"/>
      <c r="D27" s="77"/>
      <c r="E27" t="s">
        <v>42</v>
      </c>
    </row>
    <row r="30" spans="1:8">
      <c r="B30" t="s">
        <v>36</v>
      </c>
      <c r="E30" s="148" t="s">
        <v>99</v>
      </c>
    </row>
  </sheetData>
  <mergeCells count="4">
    <mergeCell ref="B25:D25"/>
    <mergeCell ref="C1:F1"/>
    <mergeCell ref="C2:F2"/>
    <mergeCell ref="A14:D14"/>
  </mergeCells>
  <pageMargins left="0.65" right="0.43" top="1.21875" bottom="0.59" header="0.24" footer="0.24"/>
  <pageSetup paperSize="9" orientation="portrait" verticalDpi="0" r:id="rId1"/>
  <headerFooter alignWithMargins="0">
    <oddHeader>&amp;L&amp;"Arial Cyr,полужирный"ЗАТВЕРДЖЕНО
Директор ММКП "РБУ"
______________ Діус В.В.
01.03.2021р.&amp;R&amp;"Arial Cyr,полужирный"ПОГОДЖЕНО
Начальник УМГ
______________Блінов А.Ю.
01.03.2021р.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12</vt:i4>
      </vt:variant>
    </vt:vector>
  </HeadingPairs>
  <TitlesOfParts>
    <vt:vector size="29" baseType="lpstr">
      <vt:lpstr>ЗН-01</vt:lpstr>
      <vt:lpstr>01а-х</vt:lpstr>
      <vt:lpstr>ЗН-02</vt:lpstr>
      <vt:lpstr>02а-х</vt:lpstr>
      <vt:lpstr>ЗН-04</vt:lpstr>
      <vt:lpstr>04а-х</vt:lpstr>
      <vt:lpstr>ЗН-05</vt:lpstr>
      <vt:lpstr>05а-х</vt:lpstr>
      <vt:lpstr>ЗН-07</vt:lpstr>
      <vt:lpstr>07а-х</vt:lpstr>
      <vt:lpstr>ЗН-09 </vt:lpstr>
      <vt:lpstr>09а-х</vt:lpstr>
      <vt:lpstr>ЗН-10 </vt:lpstr>
      <vt:lpstr>10а-х</vt:lpstr>
      <vt:lpstr>ЗН-11 </vt:lpstr>
      <vt:lpstr>11а-х </vt:lpstr>
      <vt:lpstr>ЗН-12 (перенесення)</vt:lpstr>
      <vt:lpstr>'01а-х'!Область_печати</vt:lpstr>
      <vt:lpstr>'02а-х'!Область_печати</vt:lpstr>
      <vt:lpstr>'04а-х'!Область_печати</vt:lpstr>
      <vt:lpstr>'11а-х '!Область_печати</vt:lpstr>
      <vt:lpstr>'ЗН-02'!Область_печати</vt:lpstr>
      <vt:lpstr>'ЗН-04'!Область_печати</vt:lpstr>
      <vt:lpstr>'ЗН-05'!Область_печати</vt:lpstr>
      <vt:lpstr>'ЗН-07'!Область_печати</vt:lpstr>
      <vt:lpstr>'ЗН-09 '!Область_печати</vt:lpstr>
      <vt:lpstr>'ЗН-10 '!Область_печати</vt:lpstr>
      <vt:lpstr>'ЗН-11 '!Область_печати</vt:lpstr>
      <vt:lpstr>'ЗН-12 (перенесення)'!Область_печати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2021-04-09T06:03:56Z</cp:lastPrinted>
  <dcterms:created xsi:type="dcterms:W3CDTF">2018-06-13T13:47:22Z</dcterms:created>
  <dcterms:modified xsi:type="dcterms:W3CDTF">2021-04-09T06:04:02Z</dcterms:modified>
</cp:coreProperties>
</file>