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75" windowHeight="8385" activeTab="0"/>
  </bookViews>
  <sheets>
    <sheet name="dod 1" sheetId="1" r:id="rId1"/>
    <sheet name="dod 2" sheetId="2" r:id="rId2"/>
    <sheet name="dod 3" sheetId="3" r:id="rId3"/>
    <sheet name="dod 4" sheetId="4" r:id="rId4"/>
    <sheet name="dod 5 " sheetId="5" r:id="rId5"/>
    <sheet name="dod 6." sheetId="6" r:id="rId6"/>
    <sheet name="dod 7." sheetId="7" r:id="rId7"/>
    <sheet name="dod 8" sheetId="8" r:id="rId8"/>
  </sheets>
  <definedNames>
    <definedName name="_xlnm._FilterDatabase" localSheetId="2" hidden="1">'dod 3'!$A$11:$P$109</definedName>
    <definedName name="_xlnm._FilterDatabase" localSheetId="5" hidden="1">'dod 6.'!$A$8:$N$120</definedName>
    <definedName name="_xlnm._FilterDatabase" localSheetId="6" hidden="1">'dod 7.'!$A$8:$Q$69</definedName>
    <definedName name="Z_0033AAC2_B920_4F73_9D48_CFFB5C8BCEA7_.wvu.FilterData" localSheetId="2" hidden="1">'dod 3'!$11:$23</definedName>
    <definedName name="Z_0DED55E7_6230_4958_BCE1_6D418833AED3_.wvu.FilterData" localSheetId="2" hidden="1">'dod 3'!$11:$23</definedName>
    <definedName name="Z_0E9CAA04_93B7_451C_85A9_461E9213A529_.wvu.FilterData" localSheetId="2" hidden="1">'dod 3'!$11:$23</definedName>
    <definedName name="Z_11AC6440_61C3_4852_8190_8999E8F40364_.wvu.FilterData" localSheetId="2" hidden="1">'dod 3'!$11:$107</definedName>
    <definedName name="Z_11AC6440_61C3_4852_8190_8999E8F40364_.wvu.FilterData" localSheetId="6" hidden="1">'dod 7.'!$A$8:$Q$62</definedName>
    <definedName name="Z_1C9132E7_CA75_44BA_8ABD_6F2BEE887752_.wvu.FilterData" localSheetId="2" hidden="1">'dod 3'!$11:$107</definedName>
    <definedName name="Z_1DEAC8BC_B765_49FE_9A02_C3463788AC3A_.wvu.FilterData" localSheetId="2" hidden="1">'dod 3'!$11:$107</definedName>
    <definedName name="Z_28997FF8_C6EF_4EB7_AE53_CE712CBB7746_.wvu.FilterData" localSheetId="2" hidden="1">'dod 3'!$11:$107</definedName>
    <definedName name="Z_28997FF8_C6EF_4EB7_AE53_CE712CBB7746_.wvu.FilterData" localSheetId="6" hidden="1">'dod 7.'!$A$8:$Q$62</definedName>
    <definedName name="Z_2B21C675_AF65_49D3_9499_0872BF809CCE_.wvu.FilterData" localSheetId="2" hidden="1">'dod 3'!$11:$107</definedName>
    <definedName name="Z_31FC14EC_B4AA_4144_99F2_5D86B82BE01F_.wvu.FilterData" localSheetId="2" hidden="1">'dod 3'!$11:$107</definedName>
    <definedName name="Z_31FC14EC_B4AA_4144_99F2_5D86B82BE01F_.wvu.FilterData" localSheetId="6" hidden="1">'dod 7.'!$A$8:$Q$62</definedName>
    <definedName name="Z_3C6734B6_C220_41DD_9B45_03CED7F17FB3_.wvu.FilterData" localSheetId="2" hidden="1">'dod 3'!$11:$11</definedName>
    <definedName name="Z_4414F7FE_09B9_48B9_9B91_BDA3C39C803A_.wvu.FilterData" localSheetId="2" hidden="1">'dod 3'!$11:$107</definedName>
    <definedName name="Z_445F1775_CED9_4D0B_A7BD_41493DC3AC4E_.wvu.FilterData" localSheetId="2" hidden="1">'dod 3'!$11:$107</definedName>
    <definedName name="Z_445F1775_CED9_4D0B_A7BD_41493DC3AC4E_.wvu.FilterData" localSheetId="6" hidden="1">'dod 7.'!$A$8:$Q$62</definedName>
    <definedName name="Z_48361BAD_8962_4A12_AC97_C282DE613703_.wvu.FilterData" localSheetId="2" hidden="1">'dod 3'!$11:$107</definedName>
    <definedName name="Z_48361BAD_8962_4A12_AC97_C282DE613703_.wvu.FilterData" localSheetId="6" hidden="1">'dod 7.'!$A$8:$Q$62</definedName>
    <definedName name="Z_54DB8D45_4502_4737_8D52_8D5C09276933_.wvu.FilterData" localSheetId="2" hidden="1">'dod 3'!$A$11:$HK$107</definedName>
    <definedName name="Z_56A43029_7913_4B2A_9B15_4E68CF4AEF53_.wvu.FilterData" localSheetId="2" hidden="1">'dod 3'!$11:$107</definedName>
    <definedName name="Z_56D99FDE_5699_44AD_AA0B_F2B3FC854751_.wvu.FilterData" localSheetId="6" hidden="1">'dod 7.'!$A$8:$Q$69</definedName>
    <definedName name="Z_6F106A4C_0BDB_4B41_B249_ECCE803744DB_.wvu.FilterData" localSheetId="2" hidden="1">'dod 3'!$11:$107</definedName>
    <definedName name="Z_6F106A4C_0BDB_4B41_B249_ECCE803744DB_.wvu.FilterData" localSheetId="6" hidden="1">'dod 7.'!$A$8:$Q$62</definedName>
    <definedName name="Z_8ACD6896_2C32_485C_95AA_7BCA3249DD81_.wvu.FilterData" localSheetId="2" hidden="1">'dod 3'!$11:$107</definedName>
    <definedName name="Z_8ACD6896_2C32_485C_95AA_7BCA3249DD81_.wvu.FilterData" localSheetId="6" hidden="1">'dod 7.'!$A$8:$Q$62</definedName>
    <definedName name="Z_8B83762C_0289_468A_B258_CF4837FE318E_.wvu.FilterData" localSheetId="2" hidden="1">'dod 3'!$A$11:$HK$107</definedName>
    <definedName name="Z_8EAF6A76_D45E_47A7_B89D_C380A02EB2AE_.wvu.Cols" localSheetId="7" hidden="1">'dod 8'!$A:$A</definedName>
    <definedName name="Z_8EAF6A76_D45E_47A7_B89D_C380A02EB2AE_.wvu.FilterData" localSheetId="1" hidden="1">'dod 2'!$B$11:$G$30</definedName>
    <definedName name="Z_8EAF6A76_D45E_47A7_B89D_C380A02EB2AE_.wvu.FilterData" localSheetId="2" hidden="1">'dod 3'!$A$11:$HK$107</definedName>
    <definedName name="Z_8EAF6A76_D45E_47A7_B89D_C380A02EB2AE_.wvu.FilterData" localSheetId="5" hidden="1">'dod 6.'!$B$1:$K$46</definedName>
    <definedName name="Z_8EAF6A76_D45E_47A7_B89D_C380A02EB2AE_.wvu.FilterData" localSheetId="6" hidden="1">'dod 7.'!$A$8:$Q$69</definedName>
    <definedName name="Z_8EAF6A76_D45E_47A7_B89D_C380A02EB2AE_.wvu.PrintArea" localSheetId="7" hidden="1">'dod 8'!$A$1:$G$30</definedName>
    <definedName name="Z_8EAF6A76_D45E_47A7_B89D_C380A02EB2AE_.wvu.Rows" localSheetId="2" hidden="1">'dod 3'!$4:$6</definedName>
    <definedName name="Z_9721A3CD_3755_42CC_8166_6A911540B326_.wvu.FilterData" localSheetId="2" hidden="1">'dod 3'!$11:$107</definedName>
    <definedName name="Z_9721A3CD_3755_42CC_8166_6A911540B326_.wvu.FilterData" localSheetId="6" hidden="1">'dod 7.'!$A$8:$Q$62</definedName>
    <definedName name="Z_9E47F7FB_2299_4731_9D48_129AD813B899_.wvu.FilterData" localSheetId="2" hidden="1">'dod 3'!$11:$23</definedName>
    <definedName name="Z_B24EFFB4_7561_4B2C_A446_3A3B42B84F18_.wvu.FilterData" localSheetId="2" hidden="1">'dod 3'!$A$11:$HK$107</definedName>
    <definedName name="Z_B79DC64E_FF8D_43DA_A470_9D3E3809D007_.wvu.FilterData" localSheetId="2" hidden="1">'dod 3'!$A$11:$HK$107</definedName>
    <definedName name="Z_B79DC64E_FF8D_43DA_A470_9D3E3809D007_.wvu.FilterData" localSheetId="5" hidden="1">'dod 6.'!$B$1:$K$46</definedName>
    <definedName name="Z_D045CBB3_E236_4B88_9BC4_A2FE8FE44B31_.wvu.Cols" localSheetId="2" hidden="1">'dod 3'!#REF!</definedName>
    <definedName name="Z_D045CBB3_E236_4B88_9BC4_A2FE8FE44B31_.wvu.Cols" localSheetId="7" hidden="1">'dod 8'!$A:$A</definedName>
    <definedName name="Z_D045CBB3_E236_4B88_9BC4_A2FE8FE44B31_.wvu.FilterData" localSheetId="2" hidden="1">'dod 3'!$11:$107</definedName>
    <definedName name="Z_D045CBB3_E236_4B88_9BC4_A2FE8FE44B31_.wvu.FilterData" localSheetId="5" hidden="1">'dod 6.'!#REF!</definedName>
    <definedName name="Z_D045CBB3_E236_4B88_9BC4_A2FE8FE44B31_.wvu.FilterData" localSheetId="6" hidden="1">'dod 7.'!$A$8:$Q$62</definedName>
    <definedName name="Z_D045CBB3_E236_4B88_9BC4_A2FE8FE44B31_.wvu.PrintArea" localSheetId="0" hidden="1">'dod 1'!$A$1:$F$116</definedName>
    <definedName name="Z_D045CBB3_E236_4B88_9BC4_A2FE8FE44B31_.wvu.PrintArea" localSheetId="2" hidden="1">'dod 3'!$A$1:$P$107</definedName>
    <definedName name="Z_D045CBB3_E236_4B88_9BC4_A2FE8FE44B31_.wvu.PrintArea" localSheetId="5" hidden="1">'dod 6.'!$A$1:$K$123</definedName>
    <definedName name="Z_D045CBB3_E236_4B88_9BC4_A2FE8FE44B31_.wvu.PrintArea" localSheetId="6" hidden="1">'dod 7.'!$B$1:$J$72</definedName>
    <definedName name="Z_D045CBB3_E236_4B88_9BC4_A2FE8FE44B31_.wvu.PrintArea" localSheetId="7" hidden="1">'dod 8'!$A$1:$G$30</definedName>
    <definedName name="Z_D045CBB3_E236_4B88_9BC4_A2FE8FE44B31_.wvu.PrintTitles" localSheetId="0" hidden="1">'dod 1'!$7:$7</definedName>
    <definedName name="Z_D045CBB3_E236_4B88_9BC4_A2FE8FE44B31_.wvu.PrintTitles" localSheetId="2" hidden="1">'dod 3'!$7:$11</definedName>
    <definedName name="Z_D045CBB3_E236_4B88_9BC4_A2FE8FE44B31_.wvu.PrintTitles" localSheetId="5" hidden="1">'dod 6.'!$7:$8</definedName>
    <definedName name="Z_D045CBB3_E236_4B88_9BC4_A2FE8FE44B31_.wvu.PrintTitles" localSheetId="6" hidden="1">'dod 7.'!$7:$8</definedName>
    <definedName name="Z_D045CBB3_E236_4B88_9BC4_A2FE8FE44B31_.wvu.Rows" localSheetId="0" hidden="1">'dod 1'!$15:$15,'dod 1'!$58:$58,'dod 1'!$61:$61,'dod 1'!$73:$73,'dod 1'!$83:$83,'dod 1'!$92:$92,'dod 1'!$99:$99</definedName>
    <definedName name="Z_D045CBB3_E236_4B88_9BC4_A2FE8FE44B31_.wvu.Rows" localSheetId="1" hidden="1">'dod 2'!$18:$18,'dod 2'!$29:$29,'dod 2'!$32:$33</definedName>
    <definedName name="Z_D045CBB3_E236_4B88_9BC4_A2FE8FE44B31_.wvu.Rows" localSheetId="5" hidden="1">'dod 6.'!#REF!,'dod 6.'!$87:$87</definedName>
    <definedName name="Z_D73771AD_3E6F_402A_9FCF_E7AE9A12229F_.wvu.FilterData" localSheetId="6" hidden="1">'dod 7.'!$A$8:$Q$69</definedName>
    <definedName name="Z_DEDEAA64_51CB_4221_8ECB_BE176A2F537D_.wvu.FilterData" localSheetId="2" hidden="1">'dod 3'!$11:$107</definedName>
    <definedName name="Z_DF5E3046_FFAF_4551_8634_989A1D0D3888_.wvu.PrintArea" localSheetId="0" hidden="1">'dod 1'!$A$1:$F$109</definedName>
    <definedName name="Z_DF5E3046_FFAF_4551_8634_989A1D0D3888_.wvu.PrintTitles" localSheetId="0" hidden="1">'dod 1'!$7:$7</definedName>
    <definedName name="Z_DF5E3046_FFAF_4551_8634_989A1D0D3888_.wvu.Rows" localSheetId="0" hidden="1">'dod 1'!$15:$15,'dod 1'!$58:$58,'dod 1'!$61:$61,'dod 1'!$73:$73,'dod 1'!$92:$92,'dod 1'!$99:$99</definedName>
    <definedName name="Z_DF5E3046_FFAF_4551_8634_989A1D0D3888_.wvu.Rows" localSheetId="5" hidden="1">'dod 6.'!#REF!,'dod 6.'!#REF!</definedName>
    <definedName name="Z_E03E1436_B621_4C8D_8DEA_D88962720410_.wvu.FilterData" localSheetId="6" hidden="1">'dod 7.'!$A$8:$Q$69</definedName>
    <definedName name="Z_E1C403DE_F5B4_4778_BB71_C2DBA686D8F9_.wvu.FilterData" localSheetId="2" hidden="1">'dod 3'!$A$11:$HK$107</definedName>
    <definedName name="Z_E69209E9_3AD2_46BA_ADC5_0F4266D7A650_.wvu.FilterData" localSheetId="2" hidden="1">'dod 3'!$11:$23</definedName>
    <definedName name="Z_EB9C9FFE_0593_441C_AAA2_54860C1497B2_.wvu.FilterData" localSheetId="2" hidden="1">'dod 3'!$A$11:$HK$107</definedName>
    <definedName name="Z_EB9C9FFE_0593_441C_AAA2_54860C1497B2_.wvu.FilterData" localSheetId="6" hidden="1">'dod 7.'!$A$8:$Q$69</definedName>
    <definedName name="Z_EBD4F76E_B62E_4938_95BF_9D94C0C7E94B_.wvu.FilterData" localSheetId="6" hidden="1">'dod 7.'!$A$8:$Q$69</definedName>
    <definedName name="Z_F7C85F27_C133_4579_923F_B2800FCB2B15_.wvu.FilterData" localSheetId="6" hidden="1">'dod 7.'!$A$8:$Q$62</definedName>
    <definedName name="_xlnm.Print_Titles" localSheetId="0">'dod 1'!$8:$10</definedName>
    <definedName name="_xlnm.Print_Titles" localSheetId="2">'dod 3'!$7:$10</definedName>
    <definedName name="_xlnm.Print_Titles" localSheetId="6">'dod 7.'!$7:$8</definedName>
    <definedName name="_xlnm.Print_Area" localSheetId="0">'dod 1'!$A$1:$F$116</definedName>
    <definedName name="_xlnm.Print_Area" localSheetId="2">'dod 3'!$A$1:$P$111</definedName>
    <definedName name="_xlnm.Print_Area" localSheetId="4">'dod 5 '!$A$1:$D$31</definedName>
    <definedName name="_xlnm.Print_Area" localSheetId="5">'dod 6.'!$A$1:$K$129</definedName>
    <definedName name="_xlnm.Print_Area" localSheetId="6">'dod 7.'!$A$1:$K$73</definedName>
    <definedName name="_xlnm.Print_Area" localSheetId="7">'dod 8'!$A$1:$G$30</definedName>
  </definedNames>
  <calcPr fullCalcOnLoad="1"/>
</workbook>
</file>

<file path=xl/sharedStrings.xml><?xml version="1.0" encoding="utf-8"?>
<sst xmlns="http://schemas.openxmlformats.org/spreadsheetml/2006/main" count="1351" uniqueCount="628">
  <si>
    <t>Будівництво установ та закладів культури</t>
  </si>
  <si>
    <t>Будівництво споруд, установ та закладів фізичної культури і спорту</t>
  </si>
  <si>
    <t>1517325</t>
  </si>
  <si>
    <t>7325</t>
  </si>
  <si>
    <t>1217310</t>
  </si>
  <si>
    <t>1217461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</si>
  <si>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</si>
  <si>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</si>
  <si>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</si>
  <si>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7130</t>
  </si>
  <si>
    <t>Здіснення заходів із землеустрою</t>
  </si>
  <si>
    <t>3210</t>
  </si>
  <si>
    <t>3242</t>
  </si>
  <si>
    <t>Інші заходи у сфері соціального захисту і соціального забезпечення</t>
  </si>
  <si>
    <t>7691</t>
  </si>
  <si>
    <t>Заходи із запобігання та ліквідації надзвичайних ситуацій та наслідків стихійного лиха</t>
  </si>
  <si>
    <t>1014081</t>
  </si>
  <si>
    <t>1014082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</si>
  <si>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</si>
  <si>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</si>
  <si>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</si>
  <si>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</si>
  <si>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Інші  програми та заходи у сфері охорони здоров’я</t>
  </si>
  <si>
    <t>0712152</t>
  </si>
  <si>
    <t>2152</t>
  </si>
  <si>
    <t>1213210</t>
  </si>
  <si>
    <t>0813210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</si>
  <si>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</si>
  <si>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0813242</t>
  </si>
  <si>
    <t>0990</t>
  </si>
  <si>
    <t>1162</t>
  </si>
  <si>
    <t>0611162</t>
  </si>
  <si>
    <t>1161</t>
  </si>
  <si>
    <t>0611161</t>
  </si>
  <si>
    <t>Субвенції  з державного бюджету місцевим бюджетам</t>
  </si>
  <si>
    <t>Субвенції  з місцевих бюджетів іншим місцевим бюджетам</t>
  </si>
  <si>
    <t>5012</t>
  </si>
  <si>
    <t>1050</t>
  </si>
  <si>
    <t>Організація та проведення громадських робіт</t>
  </si>
  <si>
    <t>Разом</t>
  </si>
  <si>
    <t>оплата праці</t>
  </si>
  <si>
    <t>комунальні послуги та енергоносії</t>
  </si>
  <si>
    <t>Проведення навчально-тренувальних зборів і змагань з олімпійських видів спорту</t>
  </si>
  <si>
    <t>Заходи державної політики з питань дітей та їх соціального захисту</t>
  </si>
  <si>
    <t>1000000</t>
  </si>
  <si>
    <t xml:space="preserve">Компенсаційні виплати на пільговий проїзд автомобільним транспортом окремим категоріям громадян </t>
  </si>
  <si>
    <t>1500000</t>
  </si>
  <si>
    <t>Резервний фонд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</si>
  <si>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</si>
  <si>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Секретар міської ради</t>
  </si>
  <si>
    <t>1010000</t>
  </si>
  <si>
    <t>видатки споживання</t>
  </si>
  <si>
    <t>видатки розвитку</t>
  </si>
  <si>
    <t>0111</t>
  </si>
  <si>
    <t>1040</t>
  </si>
  <si>
    <t>1510000</t>
  </si>
  <si>
    <t>1070</t>
  </si>
  <si>
    <t>1060</t>
  </si>
  <si>
    <t>1010</t>
  </si>
  <si>
    <t>1090</t>
  </si>
  <si>
    <t>1020</t>
  </si>
  <si>
    <t>0133</t>
  </si>
  <si>
    <t>0824</t>
  </si>
  <si>
    <t>0828</t>
  </si>
  <si>
    <t>0960</t>
  </si>
  <si>
    <t>0829</t>
  </si>
  <si>
    <t>0620</t>
  </si>
  <si>
    <t>0490</t>
  </si>
  <si>
    <t>0731</t>
  </si>
  <si>
    <t>0763</t>
  </si>
  <si>
    <t>0180</t>
  </si>
  <si>
    <t>Реверсна дотація</t>
  </si>
  <si>
    <t>Разом видатків</t>
  </si>
  <si>
    <t>Код</t>
  </si>
  <si>
    <t>Загальний фонд</t>
  </si>
  <si>
    <t>Спеціальний фонд</t>
  </si>
  <si>
    <t>Освітня субвенція-всього:</t>
  </si>
  <si>
    <t>3112</t>
  </si>
  <si>
    <t>3140</t>
  </si>
  <si>
    <t>3160</t>
  </si>
  <si>
    <t>5011</t>
  </si>
  <si>
    <t>10</t>
  </si>
  <si>
    <t>2010</t>
  </si>
  <si>
    <t>15</t>
  </si>
  <si>
    <t>3033</t>
  </si>
  <si>
    <t>4060</t>
  </si>
  <si>
    <t>6030</t>
  </si>
  <si>
    <t>Проведення навчально-тренувальних зборів і змагань з неолімпійських видів спорту</t>
  </si>
  <si>
    <t>0470</t>
  </si>
  <si>
    <t>грн.</t>
  </si>
  <si>
    <t>Внутрішнє фінансування </t>
  </si>
  <si>
    <t xml:space="preserve">Фінансування за рахунок зміни залишків коштів бюджетів </t>
  </si>
  <si>
    <t>На початок року</t>
  </si>
  <si>
    <t>Кошти, шо передаються із загального фонду бюджету до бюджету розвитку (спеціального фонду)</t>
  </si>
  <si>
    <t>Фінансування за актиними операціями</t>
  </si>
  <si>
    <t>Зміни обсягів готівкових коштів</t>
  </si>
  <si>
    <t>Секретар міської  ради</t>
  </si>
  <si>
    <t>Загальний  фонд</t>
  </si>
  <si>
    <t>Податкові надходження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</si>
  <si>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</si>
  <si>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</si>
  <si>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</si>
  <si>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</si>
  <si>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</si>
  <si>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</si>
  <si>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</si>
  <si>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</si>
  <si>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 xml:space="preserve">Податок на прибуток підприємств та фінансових установ комунальної власності </t>
  </si>
  <si>
    <t>Внутрішні податки на товари та послуги</t>
  </si>
  <si>
    <t xml:space="preserve">Акцизний податок з реалізації суб'єктами господарювання роздрібної торгівлі підакцизних товарів 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</si>
  <si>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</si>
  <si>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</si>
  <si>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</si>
  <si>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</si>
  <si>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</si>
  <si>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</si>
  <si>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</si>
  <si>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</si>
  <si>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</si>
  <si>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</si>
  <si>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</si>
  <si>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</si>
  <si>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</si>
  <si>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</si>
  <si>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</si>
  <si>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</si>
  <si>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</si>
  <si>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</si>
  <si>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</si>
  <si>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</si>
  <si>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 xml:space="preserve">Надходження від викидів забруднюючих речовин в атмосферне повітря стаціонарними джерелами забруднення 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</si>
  <si>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</si>
  <si>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</si>
  <si>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Неподаткові надходження</t>
  </si>
  <si>
    <t>Доходи від 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</si>
  <si>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</si>
  <si>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</si>
  <si>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Інші надходження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</si>
  <si>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</si>
  <si>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</si>
  <si>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</si>
  <si>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Надходження коштів від відшкодування втрат сільськогосподарського і лісогосподарського виробництва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</si>
  <si>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</si>
  <si>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</si>
  <si>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</si>
  <si>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</si>
  <si>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</si>
  <si>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</si>
  <si>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</si>
  <si>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</si>
  <si>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</t>
  </si>
  <si>
    <t xml:space="preserve">Державне мито, що сплачується за місцем розгляду та оформлення документів, у тому числі за оформлення документів на спадщину і дарування  </t>
  </si>
  <si>
    <t xml:space="preserve">Державне мито, пов'язане з видачею та оформленням закордонних паспортів (посвідок) та паспортів громадян України  </t>
  </si>
  <si>
    <t>Інші неподаткові надходження  </t>
  </si>
  <si>
    <t>Інші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</si>
  <si>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</si>
  <si>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</si>
  <si>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</si>
  <si>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 xml:space="preserve">Надходження від плати за послуги, що надаються бюджетними установами згідно із законодавством </t>
  </si>
  <si>
    <t xml:space="preserve">Плата за послуги, що надаються бюджетними установами згідно з їх основною діяльністю </t>
  </si>
  <si>
    <t xml:space="preserve">Плата за оренду майна бюджетних установ  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</si>
  <si>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</si>
  <si>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</si>
  <si>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</si>
  <si>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</si>
  <si>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</si>
  <si>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</si>
  <si>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</si>
  <si>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Цільові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</si>
  <si>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</si>
  <si>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>Разом доходів</t>
  </si>
  <si>
    <t>Офіційні трансферти  </t>
  </si>
  <si>
    <t>Від органів державного управління  </t>
  </si>
  <si>
    <t>Освітня субвенція з державного бюджету місцевим бюджетам</t>
  </si>
  <si>
    <t>5031</t>
  </si>
  <si>
    <t>Утримання та навчально-тренувальна робота комунальних дитячо-юнацьких спортивних  шкіл</t>
  </si>
  <si>
    <t>Заходи з енергозбереження</t>
  </si>
  <si>
    <t>О320</t>
  </si>
  <si>
    <t>08</t>
  </si>
  <si>
    <t>0800000</t>
  </si>
  <si>
    <t>0810000</t>
  </si>
  <si>
    <t>0813033</t>
  </si>
  <si>
    <t>0160</t>
  </si>
  <si>
    <t>0810160</t>
  </si>
  <si>
    <t>0813160</t>
  </si>
  <si>
    <t>1510160</t>
  </si>
  <si>
    <t>3700000</t>
  </si>
  <si>
    <t>37</t>
  </si>
  <si>
    <t>3710000</t>
  </si>
  <si>
    <t>3710160</t>
  </si>
  <si>
    <t>8700</t>
  </si>
  <si>
    <t>9110</t>
  </si>
  <si>
    <t>Інша діяльність у сфері державного управління</t>
  </si>
  <si>
    <t xml:space="preserve"> 1090</t>
  </si>
  <si>
    <t>8110</t>
  </si>
  <si>
    <t>0320</t>
  </si>
  <si>
    <t>1014030</t>
  </si>
  <si>
    <t>4030</t>
  </si>
  <si>
    <t>Забезпечення діяльності бібліотек</t>
  </si>
  <si>
    <t>1014040</t>
  </si>
  <si>
    <t>4040</t>
  </si>
  <si>
    <t>Забезпечення діяльності музеїв і виставок</t>
  </si>
  <si>
    <t>1014060</t>
  </si>
  <si>
    <t>Забезпечення діяльності палаців і будинків культури, клубів, центрів дозвілля  та інших клубних закладів</t>
  </si>
  <si>
    <t>1011100</t>
  </si>
  <si>
    <t>1100</t>
  </si>
  <si>
    <t>1014010</t>
  </si>
  <si>
    <t>4010</t>
  </si>
  <si>
    <t>0821</t>
  </si>
  <si>
    <t>Фінансова підтримка театрів</t>
  </si>
  <si>
    <t>0600000</t>
  </si>
  <si>
    <t>06</t>
  </si>
  <si>
    <t>0610000</t>
  </si>
  <si>
    <t xml:space="preserve">0611010 </t>
  </si>
  <si>
    <t>0611020</t>
  </si>
  <si>
    <t>0611090</t>
  </si>
  <si>
    <t>1150</t>
  </si>
  <si>
    <t>0611150</t>
  </si>
  <si>
    <t xml:space="preserve">Методичне  забезпечення діяльності навчальних закладів  </t>
  </si>
  <si>
    <t>2111</t>
  </si>
  <si>
    <t>0613131</t>
  </si>
  <si>
    <t>3131</t>
  </si>
  <si>
    <t>Здійснення заходів та реалізація проектів на виконання Державної цільової соціальної програми "Молодь України"</t>
  </si>
  <si>
    <t>Оздоровлення та відпочинк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</si>
  <si>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0615011</t>
  </si>
  <si>
    <t>0615012</t>
  </si>
  <si>
    <t>12</t>
  </si>
  <si>
    <t>1200000</t>
  </si>
  <si>
    <t>1210000</t>
  </si>
  <si>
    <t>1210160</t>
  </si>
  <si>
    <t>7640</t>
  </si>
  <si>
    <t>31</t>
  </si>
  <si>
    <t>3100000</t>
  </si>
  <si>
    <t>3110000</t>
  </si>
  <si>
    <t>7350</t>
  </si>
  <si>
    <t>0443</t>
  </si>
  <si>
    <t>Розробка схем планування та забудови територій (містобудівної документації)</t>
  </si>
  <si>
    <t>1216030</t>
  </si>
  <si>
    <t>Організація благоустрою населених пунктів</t>
  </si>
  <si>
    <t>1217693</t>
  </si>
  <si>
    <t>7693</t>
  </si>
  <si>
    <t>Інші заходи, пов'язані з економічною діяльністю</t>
  </si>
  <si>
    <t>8340</t>
  </si>
  <si>
    <t>1218340</t>
  </si>
  <si>
    <t>0540</t>
  </si>
  <si>
    <t>Природоохоронні заходи за рахунок цільових фондів</t>
  </si>
  <si>
    <t>1216013</t>
  </si>
  <si>
    <t>6013</t>
  </si>
  <si>
    <t>Забезпечення діяльності водопровідно-каналізаційного господарства</t>
  </si>
  <si>
    <t xml:space="preserve">Надання позашкільної освіти позашкільними закладами освіти, заходи із позашкільної роботи з дітьми </t>
  </si>
  <si>
    <t>0613140</t>
  </si>
  <si>
    <t>0615031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</si>
  <si>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</si>
  <si>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</si>
  <si>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</si>
  <si>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1216090</t>
  </si>
  <si>
    <t>6090</t>
  </si>
  <si>
    <t>Інша діяльність у сфері житлово-комунального господарства</t>
  </si>
  <si>
    <t>0640</t>
  </si>
  <si>
    <t>1217640</t>
  </si>
  <si>
    <t>1216071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</si>
  <si>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</si>
  <si>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</si>
  <si>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7310</t>
  </si>
  <si>
    <t>1517321</t>
  </si>
  <si>
    <t>1517322</t>
  </si>
  <si>
    <t>7324</t>
  </si>
  <si>
    <t>1517324</t>
  </si>
  <si>
    <t>7330</t>
  </si>
  <si>
    <t>1517330</t>
  </si>
  <si>
    <t>Будівництво освітніх установ та закладів</t>
  </si>
  <si>
    <t>7650</t>
  </si>
  <si>
    <t>Проведення експертної грошової оцінки земельної ділянки чи права на неї</t>
  </si>
  <si>
    <t>Проведення експертної  грошової  оцінки  земельної ділянки чи права на неї</t>
  </si>
  <si>
    <t>3718700</t>
  </si>
  <si>
    <t>3719110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</si>
  <si>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</si>
  <si>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</si>
  <si>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</si>
  <si>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 </t>
  </si>
  <si>
    <t>Надходження бюджетних установ від реалізації в установленому порядку майна (крім нерухомого майна) </t>
  </si>
  <si>
    <t>7321</t>
  </si>
  <si>
    <t>7322</t>
  </si>
  <si>
    <t>Будівництво медичних  установ та закладів</t>
  </si>
  <si>
    <t>Усього</t>
  </si>
  <si>
    <t>усього</t>
  </si>
  <si>
    <t xml:space="preserve">Усього 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</si>
  <si>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</si>
  <si>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</si>
  <si>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 тому числі бюджет розвитку</t>
  </si>
  <si>
    <t xml:space="preserve"> Усього видатків на поточний рік</t>
  </si>
  <si>
    <t>Виконання заходів за рахунок цільових  фондів,  утворених Верховною радою Автономної Республіки Крим, органами місцевого самоврядування і місцевими органами виконавчої влади 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</si>
  <si>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</si>
  <si>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</si>
  <si>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</si>
  <si>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</si>
  <si>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0726</t>
  </si>
  <si>
    <t>Будівництво об'єктів житлово-комунального господарства</t>
  </si>
  <si>
    <t>0421</t>
  </si>
  <si>
    <t>0921</t>
  </si>
  <si>
    <t>0910</t>
  </si>
  <si>
    <t>Інші програми та заходи у сфері освіти</t>
  </si>
  <si>
    <t>0810</t>
  </si>
  <si>
    <t>Найменування згідно з Класифікацією доходів бюджету</t>
  </si>
  <si>
    <t>Плата за розміщення тимчасово вільних коштів місцевих бюджетів </t>
  </si>
  <si>
    <t>Плата за встановлення земельного сервітуту</t>
  </si>
  <si>
    <t>Усього доходів (без врахування міжбюджетних трансфертів)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</si>
  <si>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</si>
  <si>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</si>
  <si>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Виконавчий комітет Мукачівської міської ради (головний розпорядник)</t>
  </si>
  <si>
    <t>Виконавчий комітет Мукачівської міської ради  (відповідальний виконавець)</t>
  </si>
  <si>
    <t>0200000</t>
  </si>
  <si>
    <t>02</t>
  </si>
  <si>
    <t>0210160</t>
  </si>
  <si>
    <t>0210000</t>
  </si>
  <si>
    <t>0210180</t>
  </si>
  <si>
    <t>0213112</t>
  </si>
  <si>
    <t>0213210</t>
  </si>
  <si>
    <t>0213242</t>
  </si>
  <si>
    <t>0217693</t>
  </si>
  <si>
    <t>0218110</t>
  </si>
  <si>
    <t>0217691</t>
  </si>
  <si>
    <t>1217330</t>
  </si>
  <si>
    <t>РОЗПОДІЛ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</si>
  <si>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колегіумами, всього, з них:</t>
  </si>
  <si>
    <t>за рахунок освітньої субвенції</t>
  </si>
  <si>
    <t>надання державної підтримки особам з особливими освітніми потребами за рахунок відповідної субвенції з державного бюджету</t>
  </si>
  <si>
    <t>здійснення переданих видатків у сфері освіти за рахунок коштів освітньої субвенції (оплата праці з нарахуваннями педагогічних працівників інклюзивно-ресурсних центрів)</t>
  </si>
  <si>
    <t>Багатопрофільна  стаціонарна  медична допомога населенню, всього, з них:</t>
  </si>
  <si>
    <t>Централізовані заходи з лікування хворих на цукровий та нецукровий діабет, всього, з них:</t>
  </si>
  <si>
    <t>(пункт 1)</t>
  </si>
  <si>
    <t>(код бюджету)</t>
  </si>
  <si>
    <t>(пункт 2)</t>
  </si>
  <si>
    <t>Найменування об'єкта будівництва / вид будівельних робіт, у тому числі проектні роботи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</si>
  <si>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</si>
  <si>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 xml:space="preserve">Код
Функціональної
класифікації
видатків та
кредитування
бюджету
</t>
  </si>
  <si>
    <t>Код Типової
програмної
класифікації
видатків та
кредитування
місцевого
бюджету</t>
  </si>
  <si>
    <t>Код Програмної класифікації видатків та кредитування місцевого бюджету</t>
  </si>
  <si>
    <t>Загальна тривалість будівництва (рік початку і завершення)</t>
  </si>
  <si>
    <t>Загальна
вартість
будівництва,
гривень</t>
  </si>
  <si>
    <t>Рівень
виконання
робіт на
початок
бюджетного
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</si>
  <si>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</si>
  <si>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</si>
  <si>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(пункт 4)</t>
  </si>
  <si>
    <t>(пункт 5)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</si>
  <si>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</si>
  <si>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</si>
  <si>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Надання кредитів</t>
  </si>
  <si>
    <t>Повернення кредитів</t>
  </si>
  <si>
    <t>Кредитування-всього</t>
  </si>
  <si>
    <t>у тому
числі
бюджет
розвитку</t>
  </si>
  <si>
    <t>Повернення довгострокових кредитів, наданих індивідуальним забудовникам житла на селі</t>
  </si>
  <si>
    <t>Надання довгострокових кредитів індивідуальним забудовникам житла на селі</t>
  </si>
  <si>
    <t xml:space="preserve">Всього </t>
  </si>
  <si>
    <r>
      <t>Фінансове управління Мукачівської міської ради (</t>
    </r>
    <r>
      <rPr>
        <sz val="12"/>
        <rFont val="Times New Roman"/>
        <family val="1"/>
      </rPr>
      <t>головний розпорядник)</t>
    </r>
  </si>
  <si>
    <r>
      <t xml:space="preserve">Фінансове управління Мукачівської міської ради </t>
    </r>
    <r>
      <rPr>
        <sz val="12"/>
        <rFont val="Times New Roman"/>
        <family val="1"/>
      </rPr>
      <t>(відповідальний виконавець)</t>
    </r>
  </si>
  <si>
    <r>
      <t xml:space="preserve">Управління міського господарства Мукачівської міської ради  </t>
    </r>
    <r>
      <rPr>
        <sz val="12"/>
        <rFont val="Times New Roman"/>
        <family val="1"/>
      </rPr>
      <t>(головний розпорядник)</t>
    </r>
  </si>
  <si>
    <r>
      <t xml:space="preserve">Управління міського господарства Мукачівської міської ради </t>
    </r>
    <r>
      <rPr>
        <sz val="12"/>
        <rFont val="Times New Roman"/>
        <family val="1"/>
      </rPr>
      <t>(відповідальний виконавець)</t>
    </r>
  </si>
  <si>
    <t>Управління освіти, молоді та спорту  Мукачівської міської ради  (головний розпорядник)</t>
  </si>
  <si>
    <t>Управління освіти, молоді та спорту  Мукачівської міської ради  (відповідальний виконавець)</t>
  </si>
  <si>
    <t>Управління праці та соціального захисту населення  Мукачівської міської ради  (головний розпорядник)</t>
  </si>
  <si>
    <t>Управління праці та соціального захисту населення Мукачівської міської ради (відповідальний виконавець)</t>
  </si>
  <si>
    <t>Відділ культури Мукачівської міської ради  (головний розпорядник)</t>
  </si>
  <si>
    <t>Відділ культури  Мукачівської міської ради (відповідальний виконавець)</t>
  </si>
  <si>
    <t>Управління міського господарства  Мукачівської міської ради  (головний розпорядник)</t>
  </si>
  <si>
    <t>Управління міського господарства Мукачівської міської ради  (відповідальний виконавець)</t>
  </si>
  <si>
    <t>Управління комунальної власності та архітектури   Мукачівської міської ради  (головний розпорядник)</t>
  </si>
  <si>
    <t>Управління комунальної власності та архітектури  Мукачівської міської ради (відповідальний виконавець)</t>
  </si>
  <si>
    <t>Фінансове управління   Мукачівської міської ради  (головний розпорядник)</t>
  </si>
  <si>
    <t>Фінансове управління   Мукачівської міської ради (відповідальний виконавець)</t>
  </si>
  <si>
    <t>Управління міського господарства   Мукачівської міської ради (головний розпорядник)</t>
  </si>
  <si>
    <t>Управління міського господарства    Мукачівської міської ради  (відповідальний виконавець)</t>
  </si>
  <si>
    <t>Управління освіти молоді та спорту  Мукачівської міської ради  (головний розпорядник)</t>
  </si>
  <si>
    <t>Управління освіти молоді та спорту Мукачівської міської ради  (відповідальний виконавець)</t>
  </si>
  <si>
    <t>Управління праці та соціального захисту населення  Мукачівської міської ради (відповідальний виконавець)</t>
  </si>
  <si>
    <t>Відділ культури  Мукачівської міської ради  (головний розпорядник)</t>
  </si>
  <si>
    <t>(пункт 6)</t>
  </si>
  <si>
    <t>Код
Програмної
класифікації
видатків та
кредитування
місцевого
бюджету</t>
  </si>
  <si>
    <t>Код Типової
програмної
класифікації
видатків та
кредиту-
вання
місцевого
бюджету</t>
  </si>
  <si>
    <t>Код Функціональ-
ної
класифікації видатків
та кредитування
бюджету</t>
  </si>
  <si>
    <t>з них</t>
  </si>
  <si>
    <t>Найменування згідно з
Класифікацією фінансування
бюджету</t>
  </si>
  <si>
    <t>у тому числі
бюджет
розвитку</t>
  </si>
  <si>
    <t>Обласний бюджет</t>
  </si>
  <si>
    <t xml:space="preserve">  (пункт 3)</t>
  </si>
  <si>
    <t xml:space="preserve">ДОХОДИ </t>
  </si>
  <si>
    <t>07507000000</t>
  </si>
  <si>
    <t>(грн)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</si>
  <si>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</si>
  <si>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</si>
  <si>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</si>
  <si>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</si>
  <si>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</si>
  <si>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відсотків" </t>
  </si>
  <si>
    <t xml:space="preserve"> -придбання комп'ютерної техніки та комплектуючих до неї</t>
  </si>
  <si>
    <t>Керівництво і управління у відповідній сфері у
містах (місті Києві), селищах, селах, об’єднаних
територіальних громадах</t>
  </si>
  <si>
    <t>0610160</t>
  </si>
  <si>
    <t>здійснення переданих видатків у сфері освіти за рахунок коштів освітньої субвенції (oплата праці з нарахуваннями педагогічних працівників загальноосвітніх навчальних закладів приватної форми власності )</t>
  </si>
  <si>
    <t>Надання дошкільної освіти, з них:</t>
  </si>
  <si>
    <t>Забезпечення діяльності інших закладів у сфері освіти</t>
  </si>
  <si>
    <t>1170</t>
  </si>
  <si>
    <t>5062</t>
  </si>
  <si>
    <t>0611170</t>
  </si>
  <si>
    <t>0615062</t>
  </si>
  <si>
    <t>Підтримка спорту вищих досягнень та організацій, які здійснюють фізкультурно-спортивну діяльність в регіоні</t>
  </si>
  <si>
    <t>Забезпечення діяльності інклюзивно-ресурсних центрів, з них:</t>
  </si>
  <si>
    <t>3032</t>
  </si>
  <si>
    <t>0813032</t>
  </si>
  <si>
    <t>Надання пільг окремим категоріям громадян з оплати послуг зв'язку</t>
  </si>
  <si>
    <t>1218831</t>
  </si>
  <si>
    <t>1010160</t>
  </si>
  <si>
    <t>0511</t>
  </si>
  <si>
    <t>Охорона та раціональне використання природних ресурсів</t>
  </si>
  <si>
    <t>Програма захисту прав дітей на 2020-2022 роки</t>
  </si>
  <si>
    <t>Програма виплати винагороди Почесним громадянам міста Мукачева на 2020-2022 роки</t>
  </si>
  <si>
    <t xml:space="preserve">Програма організації громадських оплачувальних робіт для молоді у вільний від навчання час на 2020-2022 роки </t>
  </si>
  <si>
    <t>Реконструкція об'єктів житлово-комунального господарства</t>
  </si>
  <si>
    <t>Програма підтримки ММКП «Міжнародний аеропорт Мукачево» на 2020-2022 роки</t>
  </si>
  <si>
    <t>Програма організації та проведення суспільно корисних робіт для порушників, на яких судом накладено адміністративне стягнення у вигляді виконання суспільно корисних робіт на на 2020-2022 роки</t>
  </si>
  <si>
    <t>Управління міського господарства  Мукачівської міської ради  (відповідальний виконавець)</t>
  </si>
  <si>
    <t>Програма висвітлення діяльності та розробки програмного забезпечення Мукачівської міської ради на 2020-2022 роки</t>
  </si>
  <si>
    <t>0813104</t>
  </si>
  <si>
    <t>3104</t>
  </si>
  <si>
    <t>Забезпечення соціальними  послугами  за  місцем проживання громадян,  які не здатні  до  самообслуговування у зв’язку з похилим віком, хворобою, інвалідністю</t>
  </si>
  <si>
    <t>Рішення  сесії ММР  № 1651 від 05.12.2019 р.</t>
  </si>
  <si>
    <t>Рішення  сесії ММР  № 1652 від 05.12.2019р.</t>
  </si>
  <si>
    <t>Рішення  сесії ММР  № 1656 від 05.12.2019р.</t>
  </si>
  <si>
    <t>Рішення  сесії ММР  № 1672 від  05.12.2019р.</t>
  </si>
  <si>
    <t>Рішення  сесії ММР  № 1665 від  05.12.2019р.</t>
  </si>
  <si>
    <t>Рішення  сесії ММР  № 1674 від 05.12.2019 р.</t>
  </si>
  <si>
    <t>Рішення  сесії ММР  № 1675 від 05.12.2019 р.</t>
  </si>
  <si>
    <t>Рішення  сесії ММР  № 1676 від 05.12.2019 р.</t>
  </si>
  <si>
    <t xml:space="preserve">Рішення  сесії  ММР № 1677 від 05.12.2019 р. </t>
  </si>
  <si>
    <t>Рішення  сесії ММР  № 1678 від 05.12.2019 р.</t>
  </si>
  <si>
    <t>Рішення  сесії ММР  № 1649 від 05.12.2019 р.</t>
  </si>
  <si>
    <t>Рішення  сесії ММР  № 1670 від  05.12.2019р.</t>
  </si>
  <si>
    <t>Рішення  сесії ММР  № 1664 від  05.12.2019р.</t>
  </si>
  <si>
    <t>Рішення  сесії ММР  № 1668 від  05.12.2019р.</t>
  </si>
  <si>
    <t>Рішення  сесії ММР  № 1669  від  05.12.2019р.</t>
  </si>
  <si>
    <t>Рішення  сесії ММР  № 1666 від  05.12.2019р.</t>
  </si>
  <si>
    <t>Рішення  сесії ММР  № 1671 від  05.12.2019р.</t>
  </si>
  <si>
    <t>Рішення  сесії ММР  № 1667 від  05.12.2019р.</t>
  </si>
  <si>
    <t>Рішення  сесії ММР  № 1663 від  05.12.2019р.</t>
  </si>
  <si>
    <t>0212144</t>
  </si>
  <si>
    <t>0212152</t>
  </si>
  <si>
    <t>Рішення  сесії ММР  № 1870         від 23.04.2020 р.  (зі змінами)</t>
  </si>
  <si>
    <t>0212010</t>
  </si>
  <si>
    <t>0212111</t>
  </si>
  <si>
    <t>Міжбюджетні трансферти на 2021 рік</t>
  </si>
  <si>
    <t>Будівництво  інших об'єктів  комунальної власності</t>
  </si>
  <si>
    <t>Надання спеціальної освіти мистецькими школами</t>
  </si>
  <si>
    <t xml:space="preserve">Інші заходи в галузі культури і мистецтва </t>
  </si>
  <si>
    <t>Програма забезпечення організаційної діяльності міської ради та виконавчого комітету  на 2021-2023 роки.</t>
  </si>
  <si>
    <t>Рішення сесії ММР  № ___ від __.12.2020 р.</t>
  </si>
  <si>
    <t>Рішення сесії ММР  № 1655 від 05.12.2019 р. (із змінами)</t>
  </si>
  <si>
    <t>Програма розвитку економічної, міжнародної, інвестиційної та туристичної   діяльності Мукачівської міської  територіальної громади  на 2021 - 2023 роки</t>
  </si>
  <si>
    <t>Рішення  сесії  ММР №  ____     від   .12.2020р.</t>
  </si>
  <si>
    <t>Програма розвитку туристичної галузі Мукачівської міської територіальної громади на 2021 рік</t>
  </si>
  <si>
    <t>Рішення  сесії  ММР №____ від     .12.2020 р.</t>
  </si>
  <si>
    <t>Програма удосконалення цивільного захисту та оборонної роботи  Мукачівської міської територіальної громади на 2021-2023 роки</t>
  </si>
  <si>
    <t>Рішення  сесії  ММР № ____       від  .12.2020р.</t>
  </si>
  <si>
    <t xml:space="preserve">Програма розвитку культури і мистецтв Мукачівської міської  територіальної громади на 2021 -2023  роки </t>
  </si>
  <si>
    <t>Рішення  сесії ММР  № ____ від      .12.2020 р.</t>
  </si>
  <si>
    <t>1217130</t>
  </si>
  <si>
    <t>Здійснення заходів із землеустрю</t>
  </si>
  <si>
    <t xml:space="preserve">Будівництво Ново Давидківсього дошкільного закладу Мукачівської міської ради по вул. Івана Франка б/н в с. Нове Давидково, Мукачівського району, Закарпатської області
</t>
  </si>
  <si>
    <t>2020-2021</t>
  </si>
  <si>
    <t>Капітальний ремонт будівлі ДЮСШ по вул. Духновича Олександра, 93 в м. Мукачево</t>
  </si>
  <si>
    <t>Реконструкція ДЮСШ по вул. Духновича, 93 в м. Мукачево</t>
  </si>
  <si>
    <t>Реконструкція спортивних полів, бігових доріжок та трибун ДЮСШ по вул. Духновича, 93 в м. Мукачево</t>
  </si>
  <si>
    <t>2019-2021</t>
  </si>
  <si>
    <t>Я. Чубирко</t>
  </si>
  <si>
    <t>Будівництво спортивного залу та благоустрій території ЗОШ І-ІІІ ст. № 1 по вул. Пушкіна Олександра, 23 в м. Мукачево</t>
  </si>
  <si>
    <t>Капітальний ремонт благоустрою території ДНЗ № 15 по вул. 26 Жовтня, 12 в м. Мукачево</t>
  </si>
  <si>
    <t>Капітальний ремонт благоустрою території ЗОШ № 13 по вул. Росивгівська в м. Мукачево</t>
  </si>
  <si>
    <t>Капітальний ремонт благоустрою території Мукачівського ліцею № 10 по вул. Драгоманова Михайла, 66 в м. Мукачево</t>
  </si>
  <si>
    <t>Капітальний ремонт благоустрою території Мукачівської гімназії № 9  по вул. Космонавтів, 31  в м. Мукачево</t>
  </si>
  <si>
    <t>Капітальний ремонт благоустрою території Мукачівської гімназії, Мукачівський НВК "ДНЗ-ЗОШ 1 ст - гімназія"  по вул. Королеви Єлизавети, 22  в м. Мукачево</t>
  </si>
  <si>
    <t>Капітальний ремонт благоустрою території СШ І-ІІІ ст. № 16 по вул. Шевченка, 68 в м. Мукачево</t>
  </si>
  <si>
    <t>Реконструкція спортивих майданчиків та благоустрій території ЗОШ № 2 по вул. Павлова Івана академіка, 14 в м. Мукачево</t>
  </si>
  <si>
    <t>Будівництво модульних приміщень сімейного лікаря по вул.  Франка Івана, 152 в м. Мукачево</t>
  </si>
  <si>
    <t>Будівництво модульних приміщень сімейного лікаря по вул.  Франка Івана, 65 Р в м. Мукачево</t>
  </si>
  <si>
    <t>Будівництво модульних приміщень сімейного лікаря по вул. Нижнянська, 3 в с. Лавки Мукачівської територіальної грамади</t>
  </si>
  <si>
    <t>Будівництво модульних приміщень сімейного лікаря по вул.Головна, 66 в с. Шенборн Мукачівської територіальної грамади</t>
  </si>
  <si>
    <t xml:space="preserve">Реконструкція 1-го поверху хірургічного відділення під відділення екстренної (невідкладної) медичної  допомоги КНП Мукачівська ЦРЛ по вул. Пирогова Миколи, 8-13 в м. Мукачево </t>
  </si>
  <si>
    <t xml:space="preserve">Капітальний ремонт приміщень під молодіжний центр "Студіо" по пл. Кирила і Мефодія, 30  в м. Мукачево     </t>
  </si>
  <si>
    <t xml:space="preserve">Капітальний ремонт приміщень під дитячий театральний центр пл. Кирила і Мефодія, 30  в м. Мукачево   </t>
  </si>
  <si>
    <t>Реконструкція (реставрація) Дитячої художньої школи ім. М.Мункачі під Білий Палац  з влаштуванням камінної зали, музейних приміщень та картинної галереї по пл. Кирила і Мефодія, 16 в м. Мукачево</t>
  </si>
  <si>
    <t>Реконструкція футбольного поля, дитячих та спортивних майданчиків, благоустрій території в с. Павшино, урочище Нижній капусняк</t>
  </si>
  <si>
    <t xml:space="preserve">Реконструкція існуючих приміщень адмінбудівлі під ЦНАП по площі Духновича, 2 в м. Мукачево. Коригування </t>
  </si>
  <si>
    <t>Зміцнення та оновлення матеріально-технічної бази підприємств, установ і організацій, що фінансуються з міського бюджету:</t>
  </si>
  <si>
    <t>0817691</t>
  </si>
  <si>
    <t>3718600</t>
  </si>
  <si>
    <t>8600</t>
  </si>
  <si>
    <t>0170</t>
  </si>
  <si>
    <t xml:space="preserve"> Обслуговування місцевого боргу</t>
  </si>
  <si>
    <t>дотація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</si>
  <si>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 на здійснення підтримки окремих закладів та заходів у системі охорони здоров’я за рахунок відповідної субвенції з державного бюджету 
(на лікування хворих на цукровий діабет інсуліном та нецукровий діабет десмопресином)</t>
  </si>
  <si>
    <t>субвенція надання державної підтримки особам з особливими освітніми потребами за рахунок відповідної субвенції з державного бюджету</t>
  </si>
  <si>
    <t>Програма управління місцевим боргом на 2020-2022 роки</t>
  </si>
  <si>
    <t>Рішення  сесії ММР  № 29  від 03.12.2020 р.</t>
  </si>
  <si>
    <t>Фінансуванням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</si>
  <si>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</si>
  <si>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</si>
  <si>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</si>
  <si>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 xml:space="preserve">Фінансування за борговими операціями </t>
  </si>
  <si>
    <t>Запозичення</t>
  </si>
  <si>
    <t xml:space="preserve">Внутрішні запозичення </t>
  </si>
  <si>
    <t xml:space="preserve">Середньострокові зобов'язання </t>
  </si>
  <si>
    <t xml:space="preserve"> бюджету Мукачівської міської територіальної громади на  2021 рік 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</si>
  <si>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</si>
  <si>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</si>
  <si>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</si>
  <si>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Внутрішні зобов’язання</t>
  </si>
  <si>
    <t>Погашення</t>
  </si>
  <si>
    <t xml:space="preserve">Програма оздоровлення та відпочинку дітей Мукачівської міської територіальної громади на 2020-2022 роки
</t>
  </si>
  <si>
    <t>Програма організації безкоштовного харчування дітей пільгових категорій у закладах освіти Мукачівської міської територіальної громади на 2020-2022 роки</t>
  </si>
  <si>
    <t xml:space="preserve">Програма розвитку освіти Мукачівської міської територіальної громади на 2021-2023 роки </t>
  </si>
  <si>
    <t>Програма подарунки для дітей закладів освіти Мукачівської міської територіальної громади на 2020-2022 роки</t>
  </si>
  <si>
    <t>Програма впровадження молодіжної політики Мукачівської міської територіальної громади на 2020-2022 роки</t>
  </si>
  <si>
    <t>Програма розвитку фізичної культури і спорту Мукачівської міської територіальної громади на 2020-2022 роки</t>
  </si>
  <si>
    <t>Програма  додаткового соціально-медичного захисту жителів Мукачівської міської територіальної громади на 2020-2022 роки.</t>
  </si>
  <si>
    <t>Програма зайнятості населення Мукачівської міської територіальної громади на 2020 -2022 роки</t>
  </si>
  <si>
    <t>Капітальний ремонт  внутріквартальних проїздів по вул. Фурманова, 6 у м. Мукачево</t>
  </si>
  <si>
    <t>Капітальний ремонт внутріквартальних проїздів по вул.Свято-Михайлівська, 5;46 та вул.Руська, 17;42 у м.Мукачево</t>
  </si>
  <si>
    <t>Капітальний ремонт скверу по вул. Духновича у м. Мукачево</t>
  </si>
  <si>
    <t>2018-2021</t>
  </si>
  <si>
    <t>Капітальний ремонт  внутріквартальних проїздів по вул. Мічуріна, 1, 1А у м. Мукачево</t>
  </si>
  <si>
    <t>в т.ч. проектно-кошторисна документація</t>
  </si>
  <si>
    <t>Будівництво пішохідного мосту через річку Латориця (в районі Черемшина-Росвигово)</t>
  </si>
  <si>
    <t>Будівництво системи водопостачання та каналізації по вул. Підгородська, Поневача Юлія, Павлюка Олександра, Загоскіна у м.Мукачево</t>
  </si>
  <si>
    <t>Будівництво каналізаційно насосної станції на розі вулиць Підгородська-Дем’яна Бідного у м.Мукачево</t>
  </si>
  <si>
    <t>Будівництво зовнішніх мереж електропостачання для каналізаційної насосної станції на розі вулиць Підгородська-Дем’яна Бідного (Поневача Юлія) у м.Мукачево</t>
  </si>
  <si>
    <t>Реконструкція внутріквартальних проїздів по вул. Підгорянська, 4-4а, Морозова Миколи академіка,3 та Верді Джузеппе, 3-3а-5 у м.Мукачево</t>
  </si>
  <si>
    <t>Будівництво центру стерилізації та адопції (прилаштування) тварин по вул.Берегівська-об’їзна у м.Мукачево</t>
  </si>
  <si>
    <t>Реконструкція привокзальної площі  у м. Мукачево</t>
  </si>
  <si>
    <t>Будівництво скверу на перехресті вул. Морозова Миколи академіка - вул. Підгорянська у м.Мукачево</t>
  </si>
  <si>
    <t>Будівництво скверу №2 по площі Паланок  у м. Мукачево</t>
  </si>
  <si>
    <t>Будівництво скверу по вул. Береша Андрія,2 – Росвигівська,7а у м.Мукачево</t>
  </si>
  <si>
    <t>Будівництво скверу по вул. Латорична у м. Мукачево</t>
  </si>
  <si>
    <t>Будівництво скверу по вул.Росвигівська, 36-38 у м.Мукачево</t>
  </si>
  <si>
    <t>Будівництво спортивного та дитячого майданчиків по вул. Толстого Льва,35а у м.Мукачево</t>
  </si>
  <si>
    <t>Будівництво спортивного майданчика по вул. Толстого Льва, 35а у м.Мукачево</t>
  </si>
  <si>
    <t>Будівництво спортивного майданчика по вул. Берегівська,28 у м.Мукачево</t>
  </si>
  <si>
    <t>Будівництво спортивного майданчику по вул.Данила Апостола,7-7а-9 у м.Мукачево</t>
  </si>
  <si>
    <t>Будівництво спортивного майданчика по вул. Закарпатська,6-8; Сороча,106 у м.Мукачево</t>
  </si>
  <si>
    <t>Будівництво спортивного майданчику в парку «Центральний» у м.Мукачево</t>
  </si>
  <si>
    <t>2021</t>
  </si>
  <si>
    <t>Будівництво дитячого майданчика по вул. Руська,50 у м.Мукачево</t>
  </si>
  <si>
    <t>Будівництво спортивного та дитячого майданчиків по вул. Лавківська у м.Мукачево</t>
  </si>
  <si>
    <t>Будівництво скверу в с.Нове Давидково Мукачівської МТГ</t>
  </si>
  <si>
    <t>Реконструкція спортивного майданчика по вул. Верді Джузеппе,6 у м.Мукачево</t>
  </si>
  <si>
    <t>Капітальний ремонт вул.Р.Корсакова у м.Мукачево</t>
  </si>
  <si>
    <t>Капітальний ремонт вул.Мусорського у м.Мукачево</t>
  </si>
  <si>
    <t>Капітальний ремонт вул. Івана Чендея у м. Мукачево</t>
  </si>
  <si>
    <t>Реконструкція вул.Гвардійська у м.Мукачево</t>
  </si>
  <si>
    <t xml:space="preserve">в т.ч. за рахунок коштів місцевого запозичення </t>
  </si>
  <si>
    <t>Капітальний ремонт внутріквартального проїзду по вул. І.Зріні, 174, 176 у м. Мукачево</t>
  </si>
  <si>
    <t>Капітальний ремонт внутріквартального проїзду по вул. Окружна,32 у м.Мукачево</t>
  </si>
  <si>
    <t>Капітальний ремонт внутріквартальних проїздів по вул. Великогірна, 10-11, 16 у м. Мукачево</t>
  </si>
  <si>
    <t>Капітальний ремонт  внутріквартальних проїздів по вул. Франка Івана, 144, 148 у м. Мукачево</t>
  </si>
  <si>
    <t>Капітальний ремонт тротуарів по вул. Берегівська-об'їздна у м.Мукачево</t>
  </si>
  <si>
    <t>Влаштування скверу по вул. Першотравнева Набережна у м. Мукачево</t>
  </si>
  <si>
    <t>Реконструкція парку імені Андрія Кузьменка в м. Мукачево</t>
  </si>
  <si>
    <t>1. Показники міжбюджетних трансфертів з інших бюджетів</t>
  </si>
  <si>
    <t>(грн.)</t>
  </si>
  <si>
    <t>Код Класифікації доходу бюджету/Код бюджету</t>
  </si>
  <si>
    <t>Найменування трансферту/Найменування бюджету -надавача міжбюджетного трансферту</t>
  </si>
  <si>
    <t>І. Трансфети до загального фонду бюджету</t>
  </si>
  <si>
    <t>ІІ. Трансфети до спеціального фонду бюджету</t>
  </si>
  <si>
    <t>Х</t>
  </si>
  <si>
    <t>УСЬОГО за розділами І, ІІ, у тому числі:</t>
  </si>
  <si>
    <t>загальний фонд</t>
  </si>
  <si>
    <t>спеціальний фонд</t>
  </si>
  <si>
    <t>Рішення  сесії ММР  № 1673 від 05.12.2019р.(із змінами)</t>
  </si>
  <si>
    <t xml:space="preserve">Рішення  сесії ММР  №     від 17.12.2020 р. </t>
  </si>
  <si>
    <t>0813035</t>
  </si>
  <si>
    <t>Програма забезпечення прав окремих пільгових категорій громадян з числа жителів Мукачівської міської територіальної громади на пільговий проїзд та пільговий телефонний зв’язок на 2021-2023 роки</t>
  </si>
  <si>
    <t>3035</t>
  </si>
  <si>
    <t>Компенсаційні виплати за  пільговий проїзд  окремих категорій громадян на залізничному транспорті</t>
  </si>
  <si>
    <t>Рішення  сесії ММР  №     від 22.12.2020р.</t>
  </si>
  <si>
    <t>Програма розвитку та підтримки комунальних закладів охорони здоров’я Мукачівської міської територіальної громади на 2021 рік</t>
  </si>
  <si>
    <t>Програма зайнятості населення Мукачівської міської  територіальної громади на 2020 -2022 роки</t>
  </si>
  <si>
    <t>Програма зайнятості населення Мукачівської міської  територіальної громади на 2020 -2022 роки.</t>
  </si>
  <si>
    <t>Програма реформування та підтримки водопровідного  територіальної громади  на 2020 - 2022 роки</t>
  </si>
  <si>
    <t>Програма реформування та підтримки каналізаційного господарства на території Мукачівської міської територіальної громади  на 2020 - 2022 роки</t>
  </si>
  <si>
    <t>Програма захисту тварин від жорстокого поводження, створення комфортних умов співіснування людей і тварин на території Мукачівської міської територіальної  громади  на 2020-2022 роки</t>
  </si>
  <si>
    <t xml:space="preserve">Програма благоустрою території Мукачівської міської  територіальної громади на 2020-2022 роки   </t>
  </si>
  <si>
    <t>Програма відшкодування різниці між затвердженим тарифом та розміром економічно обґрунтованих витрат на утримання ліфтового господарства житлового фонду Мукачівської міської  територіальної громади на 2020-2022 роки</t>
  </si>
  <si>
    <t xml:space="preserve">Програма підтримки та стимулювання створення об’єднань співвласників багатоквартирних будинків Мукачівської міської  територіальної громади на 2020-2022 роки </t>
  </si>
  <si>
    <t>Програма покращення екологічного стану на території Мукачівської міської територіальної громади на 2020-2022 роки</t>
  </si>
  <si>
    <t>Програма забезпечення діяльності Мукачівської міської  територіальної громади в сфері містобудування, архітектури, земельних відносин та комунальної власності на 2020-2022 роки</t>
  </si>
  <si>
    <r>
      <t xml:space="preserve">Додаток 1
до   рішення   3 - ї позачергової сесії Мукачівської міської ради 8-го скликання                              
"Про бюджет Мукачівської міської територіальної громади на 2021 рік"                                                                                                                                         </t>
    </r>
    <r>
      <rPr>
        <u val="single"/>
        <sz val="11"/>
        <rFont val="Times New Roman"/>
        <family val="1"/>
      </rPr>
      <t xml:space="preserve">від 22 грудня 2020 року № </t>
    </r>
  </si>
  <si>
    <r>
      <t xml:space="preserve">Додаток 2
до   рішення  3 -ї  позачергової сесії Мукачівської міської ради 8-го скликання                              
"Про бюджет Мукачівської міської 
територіальної громади на 2021 рік"                                                                                                                                   </t>
    </r>
    <r>
      <rPr>
        <u val="single"/>
        <sz val="12"/>
        <rFont val="Times New Roman"/>
        <family val="1"/>
      </rPr>
      <t xml:space="preserve">від  22 грудня 2020 року № </t>
    </r>
  </si>
  <si>
    <r>
      <t xml:space="preserve">Додаток 3
до рішення  3 -ї позачергової сесії Мукачівської міської ради 8-го скликання                              
"Про бюджет Мукачівської міської територіальної громади на 2021 рік"                   </t>
    </r>
    <r>
      <rPr>
        <u val="single"/>
        <sz val="12"/>
        <rFont val="Times New Roman"/>
        <family val="1"/>
      </rPr>
      <t xml:space="preserve">від    22  грудня  2020  року № </t>
    </r>
  </si>
  <si>
    <t xml:space="preserve"> видатків  бюджету Мукачівської міської територіальної громади  на 2021 рік</t>
  </si>
  <si>
    <t>Кредитування бюджету Мукачівської міської територіальної громади 2021 році</t>
  </si>
  <si>
    <t>Додаток 4
до рішення  3-ї позачергової сесії Мукачівської міської ради 8-го скликання "Про бюджет Мукачівської міської територіальної громади на 2021 рік" від 22 грудня  2020 року №                                                            (пункт 2)</t>
  </si>
  <si>
    <t xml:space="preserve">Додаток 5
до рішення 3 -ї позачергової сесії Мукачівської міської ради 8-го скликання                              
"Про бюджет Мукачівської міської територіальної громади на 2021 рік"  від  22 грудня 2020 року № </t>
  </si>
  <si>
    <t>Додаток 6
до рішення 3-ї позачергової сесії Мукачівської міської ради 8-го скликання "Про бюджет Мукачівської міської територіальної громади на 2021 рік"                                                                                                                               від  22 грудня 2020  року №</t>
  </si>
  <si>
    <t xml:space="preserve">Додаток 8
до рішення 3-ї позачергової сесії Мукачівської міської ради 8-го скликання                      "Про бюджет Мукачівської міської територіальної громади на 2021 рік"                                                                                                                                           від 22 грудня  2020  року № </t>
  </si>
  <si>
    <t xml:space="preserve">Додаток 7
до рішення 3-ї позачергової сесії Мукачівської міської ради 8-го скликання                              
"Про бюджет Мукачівської міської  територіальної громади на 2021 рік"                                                                                                                                 від 22 грудень  2020 року № </t>
  </si>
  <si>
    <t>Розподіл витрат бюджету Мукачівської міської територіальної громади на реалізацію місцевих /регіональних  програм  у 2021 році</t>
  </si>
  <si>
    <t>Програма безоплатного та пільгового відпуску лікарських засобів у разі амбулаторного лікування окремих груп населення та за певними категоріями захворювань та при наданні спеціалізованої та високоспеціалізованої стаціонарної медичної допомоги мешканцям Мукачівської міської територіальної громади на 2020-2022 роки</t>
  </si>
  <si>
    <t>Рішення сесії ММР  № 1654  від 05.12.2019 р. (із змінами)</t>
  </si>
  <si>
    <t>Рішення сесії ММР  № 1678 від 05.12.2019 р.(із змінами)</t>
  </si>
  <si>
    <r>
      <t xml:space="preserve">Рішення сесії ММР  № 1652  від 05.12.2019 р. </t>
    </r>
    <r>
      <rPr>
        <sz val="9"/>
        <rFont val="Times New Roman"/>
        <family val="1"/>
      </rPr>
      <t>(із змінами)</t>
    </r>
  </si>
  <si>
    <r>
      <t>Рішення  сесії  ММР № 1662 від 05.12.2019р.</t>
    </r>
    <r>
      <rPr>
        <sz val="9"/>
        <rFont val="Times New Roman"/>
        <family val="1"/>
      </rPr>
      <t>(із змінами)</t>
    </r>
  </si>
  <si>
    <t>Будівництво інших об'єктів комунальної власності</t>
  </si>
  <si>
    <t>1516030</t>
  </si>
  <si>
    <t>Управління будівництва та інфраструктури Мукачівської міської ради  (головний розпорядник)</t>
  </si>
  <si>
    <t>Управління будівництва та інфраструктури Мукачівської міської ради  (відповідальний виконавець)</t>
  </si>
  <si>
    <t>1218311</t>
  </si>
  <si>
    <t>в тому числі:</t>
  </si>
  <si>
    <t>проектно-кошторисна документація</t>
  </si>
  <si>
    <t xml:space="preserve"> за рахунок коштів місцевого запозичення </t>
  </si>
  <si>
    <t>1217650</t>
  </si>
  <si>
    <t>1217691</t>
  </si>
  <si>
    <t>1217350</t>
  </si>
  <si>
    <t>1210180</t>
  </si>
  <si>
    <t>Фінансування бюджету Мукачівської міської територіальної громади на 2021 рік</t>
  </si>
  <si>
    <t>Розподіл коштів бюджету розвитку на здійснення заходів із будівництва, реконструкції,  реставрації та капітального ремонту об'єктів виробничої,
комунікаційної та соціальної інфраструктури за об'єктами бюджету Мукачівської міської територіальної громади у 2021 році</t>
  </si>
  <si>
    <t>Розподіл коштів цільового фонду, утвореного органами місцевого самоврядування за напрямками використання бюджету Мукачівської міської територіальної громади  у 2021 році</t>
  </si>
  <si>
    <t>Будівництво дитячого та  спортивного майданчиків по вул. Свято -Михайлівська,35 у м.Мукачево</t>
  </si>
  <si>
    <t>Реконструкція зупинки громадського транспорту по вул.Ярослава Мудрого, 35 у м.Мукачево</t>
  </si>
  <si>
    <t>3110160</t>
  </si>
  <si>
    <t>Обслуговування місцевого боргу</t>
  </si>
  <si>
    <t>Програма розвитку житлово-комунального господарства Мукачівської міської територіальної громади на 2021 рік</t>
  </si>
</sst>
</file>

<file path=xl/styles.xml><?xml version="1.0" encoding="utf-8"?>
<styleSheet xmlns="http://schemas.openxmlformats.org/spreadsheetml/2006/main">
  <numFmts count="6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#,##0.00;\(#,##0.00\)"/>
    <numFmt numFmtId="196" formatCode="0.0%"/>
    <numFmt numFmtId="197" formatCode="0.0000"/>
    <numFmt numFmtId="198" formatCode="0.0"/>
    <numFmt numFmtId="199" formatCode="#,##0.000"/>
    <numFmt numFmtId="200" formatCode="#,##0.0000"/>
    <numFmt numFmtId="201" formatCode="[$-422]d\ mmmm\ yyyy&quot; р.&quot;"/>
    <numFmt numFmtId="202" formatCode="0.000%"/>
    <numFmt numFmtId="203" formatCode="0.0000%"/>
    <numFmt numFmtId="204" formatCode="0.00000000"/>
    <numFmt numFmtId="205" formatCode="0.0000000"/>
    <numFmt numFmtId="206" formatCode="0.000000"/>
    <numFmt numFmtId="207" formatCode="0.00000"/>
    <numFmt numFmtId="208" formatCode="0.000"/>
    <numFmt numFmtId="209" formatCode="#,##0_ ;\-#,##0\ "/>
    <numFmt numFmtId="210" formatCode="#,##0.0_ ;\-#,##0.0\ "/>
    <numFmt numFmtId="211" formatCode="&quot;Так&quot;;&quot;Так&quot;;&quot;Ні&quot;"/>
    <numFmt numFmtId="212" formatCode="&quot;True&quot;;&quot;True&quot;;&quot;False&quot;"/>
    <numFmt numFmtId="213" formatCode="&quot;Увімк&quot;;&quot;Увімк&quot;;&quot;Вимк&quot;"/>
    <numFmt numFmtId="214" formatCode="[$¥€-2]\ ###,000_);[Red]\([$€-2]\ ###,000\)"/>
    <numFmt numFmtId="215" formatCode="0_ ;[Red]\-0\ "/>
    <numFmt numFmtId="216" formatCode="#,##0.00\ _₴"/>
    <numFmt numFmtId="217" formatCode="#,##0_ ;[Red]\-#,##0\ "/>
    <numFmt numFmtId="218" formatCode="#,##0.00_ ;\-#,##0.00\ "/>
    <numFmt numFmtId="219" formatCode="_-* #,##0\ _г_р_н_._-;\-* #,##0\ _г_р_н_._-;_-* &quot;-&quot;??\ _г_р_н_._-;_-@_-"/>
  </numFmts>
  <fonts count="91"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Times New Roman Cyr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6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0"/>
      <name val="Times New Roman CYR"/>
      <family val="0"/>
    </font>
    <font>
      <sz val="16"/>
      <name val="Times New Roman"/>
      <family val="1"/>
    </font>
    <font>
      <sz val="12"/>
      <name val="Times New Roman CYR"/>
      <family val="0"/>
    </font>
    <font>
      <sz val="12"/>
      <color indexed="60"/>
      <name val="Times New Roman"/>
      <family val="1"/>
    </font>
    <font>
      <sz val="14"/>
      <name val="Times New Roman"/>
      <family val="1"/>
    </font>
    <font>
      <u val="single"/>
      <sz val="6.8"/>
      <color indexed="12"/>
      <name val="Arial Cyr"/>
      <family val="0"/>
    </font>
    <font>
      <u val="single"/>
      <sz val="6.8"/>
      <color indexed="20"/>
      <name val="Arial Cyr"/>
      <family val="0"/>
    </font>
    <font>
      <i/>
      <sz val="12"/>
      <name val="Times New Roman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b/>
      <u val="single"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 CYR"/>
      <family val="0"/>
    </font>
    <font>
      <b/>
      <sz val="9"/>
      <name val="Times New Roman CYR"/>
      <family val="0"/>
    </font>
    <font>
      <b/>
      <i/>
      <sz val="9"/>
      <name val="Times New Roman Cyr"/>
      <family val="0"/>
    </font>
    <font>
      <sz val="9"/>
      <name val="Times New Roman"/>
      <family val="1"/>
    </font>
    <font>
      <b/>
      <u val="single"/>
      <sz val="14"/>
      <name val="Times New Roman"/>
      <family val="1"/>
    </font>
    <font>
      <b/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2"/>
      <name val="Times New Roman"/>
      <family val="1"/>
    </font>
    <font>
      <u val="single"/>
      <sz val="11"/>
      <name val="Times New Roman"/>
      <family val="1"/>
    </font>
    <font>
      <u val="single"/>
      <sz val="12"/>
      <name val="Times New Roman"/>
      <family val="1"/>
    </font>
    <font>
      <sz val="28"/>
      <name val="Times New Roman"/>
      <family val="1"/>
    </font>
    <font>
      <i/>
      <sz val="28"/>
      <name val="Times New Roman"/>
      <family val="1"/>
    </font>
    <font>
      <b/>
      <sz val="28"/>
      <name val="Times New Roman"/>
      <family val="1"/>
    </font>
    <font>
      <b/>
      <sz val="18"/>
      <name val="Times New Roman"/>
      <family val="1"/>
    </font>
    <font>
      <b/>
      <sz val="10"/>
      <name val="Arial Cyr"/>
      <family val="0"/>
    </font>
    <font>
      <i/>
      <sz val="12"/>
      <color indexed="10"/>
      <name val="Times New Roman"/>
      <family val="1"/>
    </font>
    <font>
      <sz val="12"/>
      <color indexed="56"/>
      <name val="Times New Roman"/>
      <family val="1"/>
    </font>
    <font>
      <i/>
      <sz val="12"/>
      <color indexed="56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002060"/>
      <name val="Times New Roman"/>
      <family val="1"/>
    </font>
    <font>
      <i/>
      <sz val="12"/>
      <color rgb="FF00206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5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68" fillId="10" borderId="0" applyNumberFormat="0" applyBorder="0" applyAlignment="0" applyProtection="0"/>
    <xf numFmtId="0" fontId="68" fillId="14" borderId="0" applyNumberFormat="0" applyBorder="0" applyAlignment="0" applyProtection="0"/>
    <xf numFmtId="0" fontId="68" fillId="12" borderId="0" applyNumberFormat="0" applyBorder="0" applyAlignment="0" applyProtection="0"/>
    <xf numFmtId="0" fontId="68" fillId="5" borderId="0" applyNumberFormat="0" applyBorder="0" applyAlignment="0" applyProtection="0"/>
    <xf numFmtId="0" fontId="68" fillId="15" borderId="0" applyNumberFormat="0" applyBorder="0" applyAlignment="0" applyProtection="0"/>
    <xf numFmtId="0" fontId="68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69" fillId="16" borderId="0" applyNumberFormat="0" applyBorder="0" applyAlignment="0" applyProtection="0"/>
    <xf numFmtId="0" fontId="69" fillId="20" borderId="0" applyNumberFormat="0" applyBorder="0" applyAlignment="0" applyProtection="0"/>
    <xf numFmtId="0" fontId="69" fillId="12" borderId="0" applyNumberFormat="0" applyBorder="0" applyAlignment="0" applyProtection="0"/>
    <xf numFmtId="0" fontId="69" fillId="17" borderId="0" applyNumberFormat="0" applyBorder="0" applyAlignment="0" applyProtection="0"/>
    <xf numFmtId="0" fontId="69" fillId="21" borderId="0" applyNumberFormat="0" applyBorder="0" applyAlignment="0" applyProtection="0"/>
    <xf numFmtId="0" fontId="69" fillId="19" borderId="0" applyNumberFormat="0" applyBorder="0" applyAlignment="0" applyProtection="0"/>
    <xf numFmtId="0" fontId="42" fillId="0" borderId="0">
      <alignment/>
      <protection/>
    </xf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5" borderId="0" applyNumberFormat="0" applyBorder="0" applyAlignment="0" applyProtection="0"/>
    <xf numFmtId="0" fontId="70" fillId="26" borderId="1" applyNumberFormat="0" applyAlignment="0" applyProtection="0"/>
    <xf numFmtId="0" fontId="18" fillId="7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27" borderId="3" applyNumberFormat="0" applyAlignment="0" applyProtection="0"/>
    <xf numFmtId="0" fontId="20" fillId="27" borderId="2" applyNumberFormat="0" applyAlignment="0" applyProtection="0"/>
    <xf numFmtId="0" fontId="71" fillId="28" borderId="0" applyNumberFormat="0" applyBorder="0" applyAlignment="0" applyProtection="0"/>
    <xf numFmtId="0" fontId="36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top"/>
      <protection/>
    </xf>
    <xf numFmtId="0" fontId="72" fillId="0" borderId="8" applyNumberFormat="0" applyFill="0" applyAlignment="0" applyProtection="0"/>
    <xf numFmtId="0" fontId="22" fillId="0" borderId="9" applyNumberFormat="0" applyFill="0" applyAlignment="0" applyProtection="0"/>
    <xf numFmtId="0" fontId="69" fillId="22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17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  <xf numFmtId="0" fontId="73" fillId="33" borderId="10" applyNumberFormat="0" applyAlignment="0" applyProtection="0"/>
    <xf numFmtId="0" fontId="23" fillId="34" borderId="11" applyNumberFormat="0" applyAlignment="0" applyProtection="0"/>
    <xf numFmtId="0" fontId="12" fillId="0" borderId="0" applyNumberFormat="0" applyFill="0" applyBorder="0" applyAlignment="0" applyProtection="0"/>
    <xf numFmtId="0" fontId="74" fillId="35" borderId="0" applyNumberFormat="0" applyBorder="0" applyAlignment="0" applyProtection="0"/>
    <xf numFmtId="0" fontId="24" fillId="36" borderId="0" applyNumberFormat="0" applyBorder="0" applyAlignment="0" applyProtection="0"/>
    <xf numFmtId="0" fontId="7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16" fillId="0" borderId="0">
      <alignment/>
      <protection/>
    </xf>
    <xf numFmtId="0" fontId="68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7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25" fillId="3" borderId="0" applyNumberFormat="0" applyBorder="0" applyAlignment="0" applyProtection="0"/>
    <xf numFmtId="0" fontId="77" fillId="3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38" borderId="12" applyNumberFormat="0" applyFont="0" applyAlignment="0" applyProtection="0"/>
    <xf numFmtId="0" fontId="0" fillId="39" borderId="13" applyNumberFormat="0" applyFont="0" applyAlignment="0" applyProtection="0"/>
    <xf numFmtId="0" fontId="78" fillId="27" borderId="14" applyNumberFormat="0" applyAlignment="0" applyProtection="0"/>
    <xf numFmtId="0" fontId="27" fillId="0" borderId="1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71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/>
    </xf>
    <xf numFmtId="0" fontId="4" fillId="0" borderId="0" xfId="0" applyFont="1" applyAlignment="1">
      <alignment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40" borderId="0" xfId="0" applyNumberFormat="1" applyFont="1" applyFill="1" applyAlignment="1" applyProtection="1">
      <alignment/>
      <protection/>
    </xf>
    <xf numFmtId="0" fontId="6" fillId="40" borderId="0" xfId="0" applyFont="1" applyFill="1" applyAlignment="1">
      <alignment horizontal="center" vertical="center"/>
    </xf>
    <xf numFmtId="0" fontId="6" fillId="40" borderId="0" xfId="0" applyFont="1" applyFill="1" applyAlignment="1">
      <alignment/>
    </xf>
    <xf numFmtId="0" fontId="8" fillId="40" borderId="0" xfId="0" applyNumberFormat="1" applyFont="1" applyFill="1" applyAlignment="1" applyProtection="1">
      <alignment/>
      <protection/>
    </xf>
    <xf numFmtId="0" fontId="8" fillId="40" borderId="0" xfId="0" applyFont="1" applyFill="1" applyAlignment="1">
      <alignment/>
    </xf>
    <xf numFmtId="0" fontId="4" fillId="40" borderId="0" xfId="0" applyFont="1" applyFill="1" applyAlignment="1">
      <alignment horizontal="center" vertical="center"/>
    </xf>
    <xf numFmtId="0" fontId="4" fillId="40" borderId="0" xfId="0" applyFont="1" applyFill="1" applyAlignment="1">
      <alignment/>
    </xf>
    <xf numFmtId="0" fontId="8" fillId="0" borderId="0" xfId="0" applyNumberFormat="1" applyFont="1" applyFill="1" applyAlignment="1" applyProtection="1">
      <alignment/>
      <protection/>
    </xf>
    <xf numFmtId="0" fontId="8" fillId="0" borderId="0" xfId="0" applyFont="1" applyFill="1" applyAlignment="1">
      <alignment/>
    </xf>
    <xf numFmtId="0" fontId="6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0" fontId="6" fillId="40" borderId="0" xfId="0" applyFont="1" applyFill="1" applyAlignment="1">
      <alignment vertical="center"/>
    </xf>
    <xf numFmtId="3" fontId="6" fillId="40" borderId="0" xfId="0" applyNumberFormat="1" applyFont="1" applyFill="1" applyAlignment="1">
      <alignment/>
    </xf>
    <xf numFmtId="0" fontId="6" fillId="40" borderId="16" xfId="0" applyFont="1" applyFill="1" applyBorder="1" applyAlignment="1">
      <alignment wrapText="1"/>
    </xf>
    <xf numFmtId="1" fontId="6" fillId="40" borderId="0" xfId="0" applyNumberFormat="1" applyFont="1" applyFill="1" applyAlignment="1">
      <alignment horizontal="center" vertical="center"/>
    </xf>
    <xf numFmtId="0" fontId="4" fillId="40" borderId="16" xfId="0" applyFont="1" applyFill="1" applyBorder="1" applyAlignment="1">
      <alignment wrapText="1"/>
    </xf>
    <xf numFmtId="0" fontId="6" fillId="0" borderId="16" xfId="0" applyFont="1" applyBorder="1" applyAlignment="1">
      <alignment horizontal="center" vertical="center" wrapText="1"/>
    </xf>
    <xf numFmtId="3" fontId="6" fillId="0" borderId="0" xfId="0" applyNumberFormat="1" applyFont="1" applyFill="1" applyAlignment="1">
      <alignment vertical="distributed"/>
    </xf>
    <xf numFmtId="0" fontId="4" fillId="0" borderId="0" xfId="0" applyFont="1" applyFill="1" applyAlignment="1">
      <alignment/>
    </xf>
    <xf numFmtId="0" fontId="6" fillId="40" borderId="0" xfId="0" applyFont="1" applyFill="1" applyBorder="1" applyAlignment="1">
      <alignment/>
    </xf>
    <xf numFmtId="0" fontId="4" fillId="40" borderId="16" xfId="0" applyFont="1" applyFill="1" applyBorder="1" applyAlignment="1">
      <alignment horizontal="left" wrapText="1"/>
    </xf>
    <xf numFmtId="0" fontId="13" fillId="40" borderId="16" xfId="0" applyFont="1" applyFill="1" applyBorder="1" applyAlignment="1">
      <alignment wrapText="1"/>
    </xf>
    <xf numFmtId="3" fontId="13" fillId="40" borderId="16" xfId="0" applyNumberFormat="1" applyFont="1" applyFill="1" applyBorder="1" applyAlignment="1">
      <alignment wrapText="1"/>
    </xf>
    <xf numFmtId="4" fontId="4" fillId="0" borderId="0" xfId="0" applyNumberFormat="1" applyFont="1" applyFill="1" applyAlignment="1">
      <alignment/>
    </xf>
    <xf numFmtId="0" fontId="4" fillId="40" borderId="0" xfId="0" applyNumberFormat="1" applyFont="1" applyFill="1" applyAlignment="1" applyProtection="1">
      <alignment/>
      <protection/>
    </xf>
    <xf numFmtId="49" fontId="6" fillId="40" borderId="0" xfId="0" applyNumberFormat="1" applyFont="1" applyFill="1" applyBorder="1" applyAlignment="1">
      <alignment horizontal="center" vertical="distributed" wrapText="1"/>
    </xf>
    <xf numFmtId="0" fontId="4" fillId="40" borderId="16" xfId="0" applyFont="1" applyFill="1" applyBorder="1" applyAlignment="1">
      <alignment horizontal="center" vertical="center" wrapText="1"/>
    </xf>
    <xf numFmtId="0" fontId="6" fillId="4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Alignment="1">
      <alignment horizontal="right"/>
    </xf>
    <xf numFmtId="3" fontId="6" fillId="0" borderId="16" xfId="0" applyNumberFormat="1" applyFont="1" applyBorder="1" applyAlignment="1">
      <alignment vertical="center" wrapText="1"/>
    </xf>
    <xf numFmtId="4" fontId="6" fillId="0" borderId="0" xfId="0" applyNumberFormat="1" applyFont="1" applyAlignment="1">
      <alignment/>
    </xf>
    <xf numFmtId="0" fontId="6" fillId="40" borderId="0" xfId="0" applyNumberFormat="1" applyFont="1" applyFill="1" applyBorder="1" applyAlignment="1" applyProtection="1">
      <alignment/>
      <protection/>
    </xf>
    <xf numFmtId="1" fontId="6" fillId="40" borderId="0" xfId="0" applyNumberFormat="1" applyFont="1" applyFill="1" applyBorder="1" applyAlignment="1" applyProtection="1">
      <alignment/>
      <protection/>
    </xf>
    <xf numFmtId="1" fontId="6" fillId="40" borderId="0" xfId="0" applyNumberFormat="1" applyFont="1" applyFill="1" applyAlignment="1">
      <alignment/>
    </xf>
    <xf numFmtId="0" fontId="6" fillId="40" borderId="0" xfId="0" applyNumberFormat="1" applyFont="1" applyFill="1" applyAlignment="1" applyProtection="1">
      <alignment vertical="center"/>
      <protection/>
    </xf>
    <xf numFmtId="0" fontId="6" fillId="40" borderId="0" xfId="0" applyNumberFormat="1" applyFont="1" applyFill="1" applyAlignment="1" applyProtection="1">
      <alignment horizontal="left"/>
      <protection/>
    </xf>
    <xf numFmtId="0" fontId="6" fillId="40" borderId="0" xfId="0" applyFont="1" applyFill="1" applyAlignment="1">
      <alignment horizontal="left"/>
    </xf>
    <xf numFmtId="0" fontId="6" fillId="40" borderId="0" xfId="0" applyFont="1" applyFill="1" applyAlignment="1">
      <alignment vertical="center" wrapText="1"/>
    </xf>
    <xf numFmtId="0" fontId="6" fillId="40" borderId="0" xfId="0" applyNumberFormat="1" applyFont="1" applyFill="1" applyBorder="1" applyAlignment="1" applyProtection="1">
      <alignment vertical="center" wrapText="1"/>
      <protection/>
    </xf>
    <xf numFmtId="0" fontId="6" fillId="40" borderId="0" xfId="0" applyNumberFormat="1" applyFont="1" applyFill="1" applyBorder="1" applyAlignment="1" applyProtection="1">
      <alignment horizontal="center" vertical="center" wrapText="1"/>
      <protection/>
    </xf>
    <xf numFmtId="0" fontId="6" fillId="40" borderId="0" xfId="98" applyFont="1" applyFill="1" applyBorder="1" applyAlignment="1">
      <alignment horizontal="left"/>
      <protection/>
    </xf>
    <xf numFmtId="4" fontId="4" fillId="40" borderId="0" xfId="0" applyNumberFormat="1" applyFont="1" applyFill="1" applyAlignment="1">
      <alignment/>
    </xf>
    <xf numFmtId="0" fontId="34" fillId="0" borderId="0" xfId="0" applyNumberFormat="1" applyFont="1" applyFill="1" applyAlignment="1" applyProtection="1">
      <alignment horizontal="center" vertical="center" wrapText="1"/>
      <protection/>
    </xf>
    <xf numFmtId="0" fontId="6" fillId="40" borderId="0" xfId="0" applyFont="1" applyFill="1" applyBorder="1" applyAlignment="1">
      <alignment wrapText="1"/>
    </xf>
    <xf numFmtId="0" fontId="1" fillId="40" borderId="0" xfId="0" applyNumberFormat="1" applyFont="1" applyFill="1" applyAlignment="1" applyProtection="1">
      <alignment horizontal="center" vertical="center" wrapText="1"/>
      <protection/>
    </xf>
    <xf numFmtId="0" fontId="1" fillId="40" borderId="0" xfId="0" applyNumberFormat="1" applyFont="1" applyFill="1" applyAlignment="1" applyProtection="1">
      <alignment vertical="center" wrapText="1"/>
      <protection/>
    </xf>
    <xf numFmtId="0" fontId="4" fillId="40" borderId="0" xfId="0" applyFont="1" applyFill="1" applyBorder="1" applyAlignment="1">
      <alignment/>
    </xf>
    <xf numFmtId="0" fontId="5" fillId="40" borderId="16" xfId="0" applyFont="1" applyFill="1" applyBorder="1" applyAlignment="1">
      <alignment wrapText="1"/>
    </xf>
    <xf numFmtId="0" fontId="15" fillId="40" borderId="16" xfId="0" applyFont="1" applyFill="1" applyBorder="1" applyAlignment="1">
      <alignment wrapText="1"/>
    </xf>
    <xf numFmtId="3" fontId="13" fillId="40" borderId="16" xfId="0" applyNumberFormat="1" applyFont="1" applyFill="1" applyBorder="1" applyAlignment="1">
      <alignment/>
    </xf>
    <xf numFmtId="0" fontId="32" fillId="40" borderId="0" xfId="0" applyFont="1" applyFill="1" applyAlignment="1">
      <alignment/>
    </xf>
    <xf numFmtId="0" fontId="30" fillId="40" borderId="0" xfId="0" applyFont="1" applyFill="1" applyBorder="1" applyAlignment="1">
      <alignment wrapText="1"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35" fillId="0" borderId="0" xfId="0" applyFont="1" applyAlignment="1">
      <alignment horizontal="right" vertical="center"/>
    </xf>
    <xf numFmtId="0" fontId="35" fillId="40" borderId="0" xfId="0" applyFont="1" applyFill="1" applyAlignment="1">
      <alignment/>
    </xf>
    <xf numFmtId="0" fontId="32" fillId="40" borderId="0" xfId="0" applyNumberFormat="1" applyFont="1" applyFill="1" applyAlignment="1" applyProtection="1">
      <alignment/>
      <protection/>
    </xf>
    <xf numFmtId="0" fontId="32" fillId="40" borderId="0" xfId="0" applyNumberFormat="1" applyFont="1" applyFill="1" applyBorder="1" applyAlignment="1" applyProtection="1">
      <alignment vertical="center" wrapText="1"/>
      <protection/>
    </xf>
    <xf numFmtId="0" fontId="32" fillId="40" borderId="0" xfId="0" applyNumberFormat="1" applyFont="1" applyFill="1" applyBorder="1" applyAlignment="1" applyProtection="1">
      <alignment horizontal="left" vertical="center" wrapText="1"/>
      <protection/>
    </xf>
    <xf numFmtId="194" fontId="6" fillId="40" borderId="0" xfId="0" applyNumberFormat="1" applyFont="1" applyFill="1" applyAlignment="1" applyProtection="1">
      <alignment horizontal="center" vertical="center"/>
      <protection/>
    </xf>
    <xf numFmtId="194" fontId="6" fillId="40" borderId="0" xfId="0" applyNumberFormat="1" applyFont="1" applyFill="1" applyAlignment="1">
      <alignment horizontal="center" vertical="center"/>
    </xf>
    <xf numFmtId="194" fontId="6" fillId="40" borderId="0" xfId="0" applyNumberFormat="1" applyFont="1" applyFill="1" applyAlignment="1">
      <alignment/>
    </xf>
    <xf numFmtId="49" fontId="8" fillId="41" borderId="16" xfId="0" applyNumberFormat="1" applyFont="1" applyFill="1" applyBorder="1" applyAlignment="1">
      <alignment horizontal="center" vertical="center"/>
    </xf>
    <xf numFmtId="0" fontId="4" fillId="41" borderId="0" xfId="0" applyNumberFormat="1" applyFont="1" applyFill="1" applyAlignment="1" applyProtection="1">
      <alignment/>
      <protection/>
    </xf>
    <xf numFmtId="0" fontId="4" fillId="41" borderId="0" xfId="0" applyFont="1" applyFill="1" applyAlignment="1">
      <alignment/>
    </xf>
    <xf numFmtId="3" fontId="6" fillId="41" borderId="16" xfId="0" applyNumberFormat="1" applyFont="1" applyFill="1" applyBorder="1" applyAlignment="1">
      <alignment horizontal="right" vertical="center" wrapText="1"/>
    </xf>
    <xf numFmtId="49" fontId="4" fillId="41" borderId="16" xfId="0" applyNumberFormat="1" applyFont="1" applyFill="1" applyBorder="1" applyAlignment="1">
      <alignment horizontal="center" vertical="center" wrapText="1"/>
    </xf>
    <xf numFmtId="49" fontId="4" fillId="41" borderId="16" xfId="0" applyNumberFormat="1" applyFont="1" applyFill="1" applyBorder="1" applyAlignment="1">
      <alignment horizontal="center" vertical="center"/>
    </xf>
    <xf numFmtId="49" fontId="4" fillId="41" borderId="16" xfId="0" applyNumberFormat="1" applyFont="1" applyFill="1" applyBorder="1" applyAlignment="1">
      <alignment horizontal="center" vertical="distributed" wrapText="1"/>
    </xf>
    <xf numFmtId="194" fontId="4" fillId="41" borderId="16" xfId="0" applyNumberFormat="1" applyFont="1" applyFill="1" applyBorder="1" applyAlignment="1">
      <alignment horizontal="left" vertical="center" wrapText="1"/>
    </xf>
    <xf numFmtId="0" fontId="6" fillId="41" borderId="0" xfId="0" applyFont="1" applyFill="1" applyAlignment="1">
      <alignment vertical="distributed"/>
    </xf>
    <xf numFmtId="0" fontId="6" fillId="41" borderId="0" xfId="0" applyFont="1" applyFill="1" applyBorder="1" applyAlignment="1">
      <alignment vertical="distributed"/>
    </xf>
    <xf numFmtId="0" fontId="4" fillId="41" borderId="0" xfId="0" applyFont="1" applyFill="1" applyAlignment="1">
      <alignment vertical="distributed"/>
    </xf>
    <xf numFmtId="0" fontId="7" fillId="41" borderId="0" xfId="0" applyFont="1" applyFill="1" applyAlignment="1">
      <alignment/>
    </xf>
    <xf numFmtId="0" fontId="6" fillId="41" borderId="0" xfId="0" applyFont="1" applyFill="1" applyAlignment="1">
      <alignment/>
    </xf>
    <xf numFmtId="3" fontId="4" fillId="41" borderId="16" xfId="0" applyNumberFormat="1" applyFont="1" applyFill="1" applyBorder="1" applyAlignment="1">
      <alignment horizontal="right" vertical="center" wrapText="1"/>
    </xf>
    <xf numFmtId="0" fontId="8" fillId="41" borderId="0" xfId="0" applyFont="1" applyFill="1" applyAlignment="1">
      <alignment/>
    </xf>
    <xf numFmtId="0" fontId="4" fillId="41" borderId="0" xfId="0" applyFont="1" applyFill="1" applyBorder="1" applyAlignment="1">
      <alignment/>
    </xf>
    <xf numFmtId="0" fontId="6" fillId="41" borderId="0" xfId="0" applyFont="1" applyFill="1" applyBorder="1" applyAlignment="1">
      <alignment/>
    </xf>
    <xf numFmtId="0" fontId="4" fillId="41" borderId="0" xfId="0" applyFont="1" applyFill="1" applyAlignment="1">
      <alignment vertical="center"/>
    </xf>
    <xf numFmtId="0" fontId="4" fillId="41" borderId="16" xfId="0" applyFont="1" applyFill="1" applyBorder="1" applyAlignment="1">
      <alignment wrapText="1"/>
    </xf>
    <xf numFmtId="3" fontId="6" fillId="40" borderId="17" xfId="0" applyNumberFormat="1" applyFont="1" applyFill="1" applyBorder="1" applyAlignment="1">
      <alignment/>
    </xf>
    <xf numFmtId="3" fontId="6" fillId="40" borderId="17" xfId="0" applyNumberFormat="1" applyFont="1" applyFill="1" applyBorder="1" applyAlignment="1">
      <alignment wrapText="1"/>
    </xf>
    <xf numFmtId="49" fontId="6" fillId="40" borderId="16" xfId="0" applyNumberFormat="1" applyFont="1" applyFill="1" applyBorder="1" applyAlignment="1">
      <alignment wrapText="1"/>
    </xf>
    <xf numFmtId="0" fontId="4" fillId="41" borderId="16" xfId="0" applyFont="1" applyFill="1" applyBorder="1" applyAlignment="1">
      <alignment horizontal="center" vertical="center" wrapText="1"/>
    </xf>
    <xf numFmtId="49" fontId="6" fillId="41" borderId="16" xfId="0" applyNumberFormat="1" applyFont="1" applyFill="1" applyBorder="1" applyAlignment="1">
      <alignment horizontal="center" vertical="center"/>
    </xf>
    <xf numFmtId="49" fontId="6" fillId="41" borderId="16" xfId="0" applyNumberFormat="1" applyFont="1" applyFill="1" applyBorder="1" applyAlignment="1">
      <alignment horizontal="center" vertical="center" wrapText="1"/>
    </xf>
    <xf numFmtId="3" fontId="5" fillId="41" borderId="16" xfId="76" applyNumberFormat="1" applyFont="1" applyFill="1" applyBorder="1" applyAlignment="1">
      <alignment horizontal="right" vertical="center"/>
      <protection/>
    </xf>
    <xf numFmtId="3" fontId="15" fillId="41" borderId="16" xfId="0" applyNumberFormat="1" applyFont="1" applyFill="1" applyBorder="1" applyAlignment="1">
      <alignment horizontal="right" vertical="center"/>
    </xf>
    <xf numFmtId="0" fontId="4" fillId="40" borderId="0" xfId="0" applyNumberFormat="1" applyFont="1" applyFill="1" applyBorder="1" applyAlignment="1" applyProtection="1">
      <alignment horizontal="center" vertical="center"/>
      <protection/>
    </xf>
    <xf numFmtId="0" fontId="6" fillId="40" borderId="0" xfId="0" applyFont="1" applyFill="1" applyBorder="1" applyAlignment="1">
      <alignment horizontal="center" vertical="center"/>
    </xf>
    <xf numFmtId="0" fontId="6" fillId="40" borderId="0" xfId="0" applyNumberFormat="1" applyFont="1" applyFill="1" applyBorder="1" applyAlignment="1" applyProtection="1">
      <alignment horizontal="center" vertical="center"/>
      <protection/>
    </xf>
    <xf numFmtId="0" fontId="38" fillId="41" borderId="16" xfId="0" applyNumberFormat="1" applyFont="1" applyFill="1" applyBorder="1" applyAlignment="1" applyProtection="1">
      <alignment horizontal="left" vertical="center" wrapText="1"/>
      <protection/>
    </xf>
    <xf numFmtId="0" fontId="33" fillId="41" borderId="16" xfId="0" applyNumberFormat="1" applyFont="1" applyFill="1" applyBorder="1" applyAlignment="1" applyProtection="1">
      <alignment horizontal="left" vertical="center" wrapText="1"/>
      <protection/>
    </xf>
    <xf numFmtId="0" fontId="6" fillId="42" borderId="0" xfId="0" applyFont="1" applyFill="1" applyAlignment="1">
      <alignment/>
    </xf>
    <xf numFmtId="0" fontId="4" fillId="40" borderId="0" xfId="0" applyNumberFormat="1" applyFont="1" applyFill="1" applyAlignment="1" applyProtection="1">
      <alignment vertical="center"/>
      <protection/>
    </xf>
    <xf numFmtId="49" fontId="6" fillId="41" borderId="16" xfId="0" applyNumberFormat="1" applyFont="1" applyFill="1" applyBorder="1" applyAlignment="1">
      <alignment horizontal="center" vertical="center" wrapText="1"/>
    </xf>
    <xf numFmtId="3" fontId="81" fillId="0" borderId="16" xfId="0" applyNumberFormat="1" applyFont="1" applyFill="1" applyBorder="1" applyAlignment="1">
      <alignment horizontal="center" vertical="distributed"/>
    </xf>
    <xf numFmtId="49" fontId="81" fillId="0" borderId="0" xfId="0" applyNumberFormat="1" applyFont="1" applyFill="1" applyAlignment="1">
      <alignment horizontal="center" vertical="center"/>
    </xf>
    <xf numFmtId="0" fontId="81" fillId="0" borderId="0" xfId="0" applyFont="1" applyFill="1" applyBorder="1" applyAlignment="1">
      <alignment/>
    </xf>
    <xf numFmtId="3" fontId="6" fillId="40" borderId="0" xfId="0" applyNumberFormat="1" applyFont="1" applyFill="1" applyAlignment="1">
      <alignment horizontal="center" vertical="center"/>
    </xf>
    <xf numFmtId="0" fontId="6" fillId="0" borderId="0" xfId="98" applyFont="1" applyBorder="1" applyAlignment="1">
      <alignment/>
      <protection/>
    </xf>
    <xf numFmtId="0" fontId="6" fillId="41" borderId="0" xfId="0" applyFont="1" applyFill="1" applyAlignment="1">
      <alignment vertical="center" wrapText="1"/>
    </xf>
    <xf numFmtId="0" fontId="6" fillId="41" borderId="0" xfId="0" applyNumberFormat="1" applyFont="1" applyFill="1" applyBorder="1" applyAlignment="1" applyProtection="1">
      <alignment vertical="center" wrapText="1"/>
      <protection/>
    </xf>
    <xf numFmtId="0" fontId="32" fillId="41" borderId="0" xfId="0" applyNumberFormat="1" applyFont="1" applyFill="1" applyBorder="1" applyAlignment="1" applyProtection="1">
      <alignment vertical="center" wrapText="1"/>
      <protection/>
    </xf>
    <xf numFmtId="3" fontId="4" fillId="0" borderId="0" xfId="0" applyNumberFormat="1" applyFont="1" applyFill="1" applyBorder="1" applyAlignment="1">
      <alignment/>
    </xf>
    <xf numFmtId="0" fontId="2" fillId="40" borderId="0" xfId="0" applyNumberFormat="1" applyFont="1" applyFill="1" applyBorder="1" applyAlignment="1" applyProtection="1">
      <alignment horizontal="center" vertical="center" wrapText="1"/>
      <protection/>
    </xf>
    <xf numFmtId="0" fontId="13" fillId="4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82" fillId="0" borderId="0" xfId="0" applyFont="1" applyAlignment="1">
      <alignment vertical="center"/>
    </xf>
    <xf numFmtId="0" fontId="6" fillId="0" borderId="0" xfId="0" applyFont="1" applyAlignment="1">
      <alignment/>
    </xf>
    <xf numFmtId="0" fontId="81" fillId="41" borderId="0" xfId="0" applyNumberFormat="1" applyFont="1" applyFill="1" applyAlignment="1" applyProtection="1">
      <alignment horizontal="left" vertical="center" wrapText="1"/>
      <protection/>
    </xf>
    <xf numFmtId="0" fontId="40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NumberFormat="1" applyFont="1" applyFill="1" applyAlignment="1" applyProtection="1">
      <alignment/>
      <protection/>
    </xf>
    <xf numFmtId="0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>
      <alignment/>
    </xf>
    <xf numFmtId="0" fontId="1" fillId="0" borderId="0" xfId="0" applyNumberFormat="1" applyFont="1" applyFill="1" applyAlignment="1" applyProtection="1">
      <alignment vertical="top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43" fillId="0" borderId="0" xfId="51" applyFont="1" applyFill="1" applyBorder="1" applyAlignment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0" fillId="0" borderId="0" xfId="0" applyNumberFormat="1" applyFont="1" applyFill="1" applyAlignment="1" applyProtection="1">
      <alignment horizontal="center"/>
      <protection/>
    </xf>
    <xf numFmtId="0" fontId="40" fillId="0" borderId="0" xfId="0" applyNumberFormat="1" applyFont="1" applyFill="1" applyBorder="1" applyAlignment="1" applyProtection="1">
      <alignment horizontal="center" vertical="center" wrapText="1"/>
      <protection/>
    </xf>
    <xf numFmtId="0" fontId="40" fillId="0" borderId="0" xfId="0" applyNumberFormat="1" applyFont="1" applyFill="1" applyAlignment="1" applyProtection="1">
      <alignment horizontal="center" vertical="center" wrapText="1"/>
      <protection/>
    </xf>
    <xf numFmtId="0" fontId="39" fillId="0" borderId="18" xfId="0" applyNumberFormat="1" applyFont="1" applyFill="1" applyBorder="1" applyAlignment="1" applyProtection="1">
      <alignment horizontal="right" vertical="center"/>
      <protection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>
      <alignment vertical="center" wrapText="1"/>
    </xf>
    <xf numFmtId="3" fontId="4" fillId="0" borderId="16" xfId="0" applyNumberFormat="1" applyFont="1" applyFill="1" applyBorder="1" applyAlignment="1" applyProtection="1">
      <alignment horizontal="right" vertical="center" wrapText="1"/>
      <protection/>
    </xf>
    <xf numFmtId="0" fontId="6" fillId="0" borderId="16" xfId="0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 wrapText="1"/>
    </xf>
    <xf numFmtId="3" fontId="6" fillId="0" borderId="16" xfId="0" applyNumberFormat="1" applyFont="1" applyFill="1" applyBorder="1" applyAlignment="1" applyProtection="1">
      <alignment horizontal="right" vertical="center" wrapText="1"/>
      <protection/>
    </xf>
    <xf numFmtId="3" fontId="5" fillId="0" borderId="16" xfId="0" applyNumberFormat="1" applyFont="1" applyFill="1" applyBorder="1" applyAlignment="1">
      <alignment horizontal="right" vertical="center"/>
    </xf>
    <xf numFmtId="49" fontId="4" fillId="0" borderId="16" xfId="0" applyNumberFormat="1" applyFont="1" applyFill="1" applyBorder="1" applyAlignment="1">
      <alignment horizontal="center" vertical="center" wrapText="1"/>
    </xf>
    <xf numFmtId="3" fontId="15" fillId="0" borderId="16" xfId="0" applyNumberFormat="1" applyFont="1" applyFill="1" applyBorder="1" applyAlignment="1">
      <alignment horizontal="right" vertical="center"/>
    </xf>
    <xf numFmtId="3" fontId="31" fillId="0" borderId="0" xfId="0" applyNumberFormat="1" applyFont="1" applyFill="1" applyAlignment="1">
      <alignment/>
    </xf>
    <xf numFmtId="0" fontId="6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wrapText="1"/>
    </xf>
    <xf numFmtId="0" fontId="4" fillId="0" borderId="16" xfId="0" applyFont="1" applyFill="1" applyBorder="1" applyAlignment="1">
      <alignment horizontal="justify" vertical="center" wrapText="1"/>
    </xf>
    <xf numFmtId="3" fontId="4" fillId="0" borderId="16" xfId="0" applyNumberFormat="1" applyFont="1" applyFill="1" applyBorder="1" applyAlignment="1" applyProtection="1">
      <alignment horizontal="right" vertical="center"/>
      <protection/>
    </xf>
    <xf numFmtId="0" fontId="6" fillId="0" borderId="16" xfId="0" applyFont="1" applyBorder="1" applyAlignment="1">
      <alignment horizontal="left" vertical="center" wrapText="1"/>
    </xf>
    <xf numFmtId="0" fontId="2" fillId="40" borderId="0" xfId="0" applyNumberFormat="1" applyFont="1" applyFill="1" applyBorder="1" applyAlignment="1" applyProtection="1">
      <alignment horizontal="left" vertical="center" wrapText="1"/>
      <protection/>
    </xf>
    <xf numFmtId="0" fontId="35" fillId="40" borderId="0" xfId="0" applyNumberFormat="1" applyFont="1" applyFill="1" applyBorder="1" applyAlignment="1" applyProtection="1">
      <alignment horizontal="left" vertical="center" wrapText="1"/>
      <protection/>
    </xf>
    <xf numFmtId="0" fontId="2" fillId="40" borderId="0" xfId="0" applyNumberFormat="1" applyFont="1" applyFill="1" applyBorder="1" applyAlignment="1" applyProtection="1">
      <alignment vertical="center" wrapText="1"/>
      <protection/>
    </xf>
    <xf numFmtId="0" fontId="81" fillId="0" borderId="0" xfId="0" applyFont="1" applyFill="1" applyAlignment="1">
      <alignment horizontal="right" vertical="top"/>
    </xf>
    <xf numFmtId="0" fontId="6" fillId="40" borderId="16" xfId="0" applyFont="1" applyFill="1" applyBorder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35" fillId="40" borderId="0" xfId="0" applyFont="1" applyFill="1" applyBorder="1" applyAlignment="1">
      <alignment/>
    </xf>
    <xf numFmtId="49" fontId="6" fillId="40" borderId="0" xfId="0" applyNumberFormat="1" applyFont="1" applyFill="1" applyBorder="1" applyAlignment="1">
      <alignment/>
    </xf>
    <xf numFmtId="0" fontId="4" fillId="0" borderId="20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42" borderId="0" xfId="0" applyFont="1" applyFill="1" applyBorder="1" applyAlignment="1">
      <alignment vertical="distributed"/>
    </xf>
    <xf numFmtId="49" fontId="8" fillId="41" borderId="16" xfId="0" applyNumberFormat="1" applyFont="1" applyFill="1" applyBorder="1" applyAlignment="1">
      <alignment horizontal="center" vertical="center" wrapText="1"/>
    </xf>
    <xf numFmtId="3" fontId="8" fillId="41" borderId="16" xfId="0" applyNumberFormat="1" applyFont="1" applyFill="1" applyBorder="1" applyAlignment="1">
      <alignment horizontal="right" vertical="center" wrapText="1"/>
    </xf>
    <xf numFmtId="0" fontId="8" fillId="40" borderId="0" xfId="0" applyFont="1" applyFill="1" applyAlignment="1">
      <alignment horizontal="center" vertical="center"/>
    </xf>
    <xf numFmtId="0" fontId="83" fillId="41" borderId="0" xfId="0" applyFont="1" applyFill="1" applyAlignment="1">
      <alignment/>
    </xf>
    <xf numFmtId="3" fontId="6" fillId="41" borderId="16" xfId="97" applyNumberFormat="1" applyFont="1" applyFill="1" applyBorder="1" applyAlignment="1">
      <alignment horizontal="right" vertical="center"/>
      <protection/>
    </xf>
    <xf numFmtId="0" fontId="8" fillId="41" borderId="16" xfId="0" applyFont="1" applyFill="1" applyBorder="1" applyAlignment="1">
      <alignment horizontal="left" vertical="center" wrapText="1"/>
    </xf>
    <xf numFmtId="3" fontId="8" fillId="41" borderId="16" xfId="97" applyNumberFormat="1" applyFont="1" applyFill="1" applyBorder="1" applyAlignment="1">
      <alignment horizontal="right" vertical="center"/>
      <protection/>
    </xf>
    <xf numFmtId="194" fontId="6" fillId="41" borderId="16" xfId="0" applyNumberFormat="1" applyFont="1" applyFill="1" applyBorder="1" applyAlignment="1" applyProtection="1">
      <alignment horizontal="left" vertical="center" wrapText="1"/>
      <protection/>
    </xf>
    <xf numFmtId="0" fontId="8" fillId="41" borderId="16" xfId="0" applyFont="1" applyFill="1" applyBorder="1" applyAlignment="1">
      <alignment vertical="center" wrapText="1"/>
    </xf>
    <xf numFmtId="0" fontId="6" fillId="41" borderId="0" xfId="0" applyFont="1" applyFill="1" applyAlignment="1">
      <alignment wrapText="1"/>
    </xf>
    <xf numFmtId="3" fontId="6" fillId="0" borderId="16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0" fontId="6" fillId="41" borderId="16" xfId="0" applyFont="1" applyFill="1" applyBorder="1" applyAlignment="1">
      <alignment horizontal="center" vertical="center" wrapText="1"/>
    </xf>
    <xf numFmtId="49" fontId="6" fillId="41" borderId="16" xfId="97" applyNumberFormat="1" applyFont="1" applyFill="1" applyBorder="1" applyAlignment="1">
      <alignment horizontal="center" vertical="center"/>
      <protection/>
    </xf>
    <xf numFmtId="0" fontId="6" fillId="41" borderId="16" xfId="0" applyFont="1" applyFill="1" applyBorder="1" applyAlignment="1">
      <alignment vertical="center" wrapText="1"/>
    </xf>
    <xf numFmtId="3" fontId="4" fillId="41" borderId="16" xfId="97" applyNumberFormat="1" applyFont="1" applyFill="1" applyBorder="1" applyAlignment="1">
      <alignment horizontal="right" vertical="center"/>
      <protection/>
    </xf>
    <xf numFmtId="194" fontId="4" fillId="41" borderId="16" xfId="0" applyNumberFormat="1" applyFont="1" applyFill="1" applyBorder="1" applyAlignment="1" applyProtection="1">
      <alignment vertical="center" wrapText="1"/>
      <protection/>
    </xf>
    <xf numFmtId="194" fontId="6" fillId="41" borderId="16" xfId="0" applyNumberFormat="1" applyFont="1" applyFill="1" applyBorder="1" applyAlignment="1">
      <alignment vertical="center" wrapText="1"/>
    </xf>
    <xf numFmtId="0" fontId="6" fillId="41" borderId="16" xfId="0" applyNumberFormat="1" applyFont="1" applyFill="1" applyBorder="1" applyAlignment="1" applyProtection="1">
      <alignment horizontal="justify" vertical="center" wrapText="1"/>
      <protection/>
    </xf>
    <xf numFmtId="0" fontId="6" fillId="41" borderId="16" xfId="97" applyFont="1" applyFill="1" applyBorder="1" applyAlignment="1">
      <alignment horizontal="center" vertical="center"/>
      <protection/>
    </xf>
    <xf numFmtId="0" fontId="6" fillId="41" borderId="16" xfId="0" applyFont="1" applyFill="1" applyBorder="1" applyAlignment="1">
      <alignment vertical="center"/>
    </xf>
    <xf numFmtId="0" fontId="6" fillId="41" borderId="16" xfId="0" applyFont="1" applyFill="1" applyBorder="1" applyAlignment="1">
      <alignment/>
    </xf>
    <xf numFmtId="49" fontId="8" fillId="41" borderId="16" xfId="0" applyNumberFormat="1" applyFont="1" applyFill="1" applyBorder="1" applyAlignment="1" applyProtection="1">
      <alignment horizontal="center" vertical="distributed" wrapText="1"/>
      <protection/>
    </xf>
    <xf numFmtId="49" fontId="6" fillId="41" borderId="16" xfId="0" applyNumberFormat="1" applyFont="1" applyFill="1" applyBorder="1" applyAlignment="1" applyProtection="1">
      <alignment horizontal="center" vertical="distributed" wrapText="1"/>
      <protection/>
    </xf>
    <xf numFmtId="3" fontId="7" fillId="41" borderId="16" xfId="0" applyNumberFormat="1" applyFont="1" applyFill="1" applyBorder="1" applyAlignment="1">
      <alignment horizontal="right" vertical="center" wrapText="1"/>
    </xf>
    <xf numFmtId="3" fontId="7" fillId="41" borderId="16" xfId="0" applyNumberFormat="1" applyFont="1" applyFill="1" applyBorder="1" applyAlignment="1" applyProtection="1">
      <alignment horizontal="right" vertical="center" wrapText="1"/>
      <protection/>
    </xf>
    <xf numFmtId="3" fontId="7" fillId="41" borderId="16" xfId="0" applyNumberFormat="1" applyFont="1" applyFill="1" applyBorder="1" applyAlignment="1">
      <alignment vertical="center" wrapText="1"/>
    </xf>
    <xf numFmtId="0" fontId="7" fillId="41" borderId="16" xfId="0" applyFont="1" applyFill="1" applyBorder="1" applyAlignment="1">
      <alignment horizontal="left" vertical="center" wrapText="1"/>
    </xf>
    <xf numFmtId="49" fontId="7" fillId="41" borderId="16" xfId="0" applyNumberFormat="1" applyFont="1" applyFill="1" applyBorder="1" applyAlignment="1" applyProtection="1">
      <alignment horizontal="center" vertical="center" wrapText="1"/>
      <protection/>
    </xf>
    <xf numFmtId="49" fontId="7" fillId="41" borderId="16" xfId="0" applyNumberFormat="1" applyFont="1" applyFill="1" applyBorder="1" applyAlignment="1">
      <alignment horizontal="center" vertical="center"/>
    </xf>
    <xf numFmtId="3" fontId="6" fillId="41" borderId="16" xfId="0" applyNumberFormat="1" applyFont="1" applyFill="1" applyBorder="1" applyAlignment="1" applyProtection="1">
      <alignment horizontal="right" vertical="center" wrapText="1"/>
      <protection/>
    </xf>
    <xf numFmtId="3" fontId="4" fillId="41" borderId="16" xfId="0" applyNumberFormat="1" applyFont="1" applyFill="1" applyBorder="1" applyAlignment="1" applyProtection="1">
      <alignment horizontal="right" vertical="center" wrapText="1"/>
      <protection/>
    </xf>
    <xf numFmtId="3" fontId="4" fillId="41" borderId="16" xfId="0" applyNumberFormat="1" applyFont="1" applyFill="1" applyBorder="1" applyAlignment="1">
      <alignment vertical="center" wrapText="1"/>
    </xf>
    <xf numFmtId="194" fontId="4" fillId="41" borderId="16" xfId="0" applyNumberFormat="1" applyFont="1" applyFill="1" applyBorder="1" applyAlignment="1" applyProtection="1">
      <alignment horizontal="left" vertical="center" wrapText="1"/>
      <protection/>
    </xf>
    <xf numFmtId="49" fontId="4" fillId="41" borderId="16" xfId="0" applyNumberFormat="1" applyFont="1" applyFill="1" applyBorder="1" applyAlignment="1" applyProtection="1">
      <alignment horizontal="center" vertical="center" wrapText="1"/>
      <protection/>
    </xf>
    <xf numFmtId="3" fontId="6" fillId="41" borderId="16" xfId="0" applyNumberFormat="1" applyFont="1" applyFill="1" applyBorder="1" applyAlignment="1">
      <alignment vertical="center" wrapText="1"/>
    </xf>
    <xf numFmtId="0" fontId="6" fillId="41" borderId="16" xfId="0" applyNumberFormat="1" applyFont="1" applyFill="1" applyBorder="1" applyAlignment="1" applyProtection="1">
      <alignment wrapText="1"/>
      <protection/>
    </xf>
    <xf numFmtId="0" fontId="6" fillId="41" borderId="16" xfId="0" applyNumberFormat="1" applyFont="1" applyFill="1" applyBorder="1" applyAlignment="1" applyProtection="1">
      <alignment horizontal="left" vertical="center" wrapText="1"/>
      <protection/>
    </xf>
    <xf numFmtId="0" fontId="6" fillId="41" borderId="16" xfId="0" applyFont="1" applyFill="1" applyBorder="1" applyAlignment="1">
      <alignment horizontal="justify" vertical="center" wrapText="1"/>
    </xf>
    <xf numFmtId="194" fontId="6" fillId="41" borderId="16" xfId="0" applyNumberFormat="1" applyFont="1" applyFill="1" applyBorder="1" applyAlignment="1" applyProtection="1">
      <alignment vertical="center" wrapText="1"/>
      <protection/>
    </xf>
    <xf numFmtId="49" fontId="6" fillId="41" borderId="16" xfId="0" applyNumberFormat="1" applyFont="1" applyFill="1" applyBorder="1" applyAlignment="1">
      <alignment horizontal="center" vertical="distributed" wrapText="1"/>
    </xf>
    <xf numFmtId="49" fontId="8" fillId="41" borderId="16" xfId="0" applyNumberFormat="1" applyFont="1" applyFill="1" applyBorder="1" applyAlignment="1">
      <alignment horizontal="center" vertical="center"/>
    </xf>
    <xf numFmtId="3" fontId="6" fillId="41" borderId="16" xfId="0" applyNumberFormat="1" applyFont="1" applyFill="1" applyBorder="1" applyAlignment="1">
      <alignment horizontal="right" vertical="center" wrapText="1"/>
    </xf>
    <xf numFmtId="0" fontId="4" fillId="41" borderId="16" xfId="0" applyFont="1" applyFill="1" applyBorder="1" applyAlignment="1">
      <alignment horizontal="left" vertical="center" wrapText="1"/>
    </xf>
    <xf numFmtId="49" fontId="4" fillId="41" borderId="16" xfId="0" applyNumberFormat="1" applyFont="1" applyFill="1" applyBorder="1" applyAlignment="1">
      <alignment horizontal="center" vertical="center"/>
    </xf>
    <xf numFmtId="49" fontId="4" fillId="41" borderId="16" xfId="0" applyNumberFormat="1" applyFont="1" applyFill="1" applyBorder="1" applyAlignment="1">
      <alignment horizontal="center" vertical="distributed" wrapText="1"/>
    </xf>
    <xf numFmtId="194" fontId="4" fillId="41" borderId="16" xfId="0" applyNumberFormat="1" applyFont="1" applyFill="1" applyBorder="1" applyAlignment="1">
      <alignment horizontal="left" vertical="center" wrapText="1"/>
    </xf>
    <xf numFmtId="3" fontId="4" fillId="41" borderId="16" xfId="0" applyNumberFormat="1" applyFont="1" applyFill="1" applyBorder="1" applyAlignment="1">
      <alignment horizontal="right" vertical="center" wrapText="1"/>
    </xf>
    <xf numFmtId="49" fontId="6" fillId="41" borderId="16" xfId="0" applyNumberFormat="1" applyFont="1" applyFill="1" applyBorder="1" applyAlignment="1">
      <alignment horizontal="center" vertical="center"/>
    </xf>
    <xf numFmtId="49" fontId="6" fillId="41" borderId="16" xfId="0" applyNumberFormat="1" applyFont="1" applyFill="1" applyBorder="1" applyAlignment="1">
      <alignment horizontal="center" vertical="center" wrapText="1"/>
    </xf>
    <xf numFmtId="194" fontId="6" fillId="41" borderId="16" xfId="0" applyNumberFormat="1" applyFont="1" applyFill="1" applyBorder="1" applyAlignment="1">
      <alignment horizontal="left" vertical="center" wrapText="1"/>
    </xf>
    <xf numFmtId="0" fontId="6" fillId="41" borderId="16" xfId="0" applyFont="1" applyFill="1" applyBorder="1" applyAlignment="1">
      <alignment horizontal="left" vertical="center" wrapText="1"/>
    </xf>
    <xf numFmtId="0" fontId="84" fillId="0" borderId="0" xfId="0" applyFont="1" applyFill="1" applyAlignment="1">
      <alignment/>
    </xf>
    <xf numFmtId="0" fontId="81" fillId="0" borderId="0" xfId="0" applyFont="1" applyFill="1" applyAlignment="1">
      <alignment vertical="center"/>
    </xf>
    <xf numFmtId="0" fontId="81" fillId="0" borderId="0" xfId="0" applyFont="1" applyFill="1" applyAlignment="1">
      <alignment/>
    </xf>
    <xf numFmtId="3" fontId="81" fillId="0" borderId="0" xfId="0" applyNumberFormat="1" applyFont="1" applyFill="1" applyAlignment="1">
      <alignment/>
    </xf>
    <xf numFmtId="3" fontId="84" fillId="0" borderId="0" xfId="0" applyNumberFormat="1" applyFont="1" applyFill="1" applyAlignment="1">
      <alignment/>
    </xf>
    <xf numFmtId="49" fontId="4" fillId="41" borderId="16" xfId="0" applyNumberFormat="1" applyFont="1" applyFill="1" applyBorder="1" applyAlignment="1" applyProtection="1">
      <alignment horizontal="center" vertical="distributed" wrapText="1"/>
      <protection/>
    </xf>
    <xf numFmtId="49" fontId="6" fillId="41" borderId="17" xfId="0" applyNumberFormat="1" applyFont="1" applyFill="1" applyBorder="1" applyAlignment="1">
      <alignment horizontal="center" vertical="center"/>
    </xf>
    <xf numFmtId="49" fontId="6" fillId="41" borderId="17" xfId="0" applyNumberFormat="1" applyFont="1" applyFill="1" applyBorder="1" applyAlignment="1">
      <alignment horizontal="center" vertical="distributed" wrapText="1"/>
    </xf>
    <xf numFmtId="3" fontId="6" fillId="41" borderId="16" xfId="0" applyNumberFormat="1" applyFont="1" applyFill="1" applyBorder="1" applyAlignment="1">
      <alignment horizontal="right" vertical="center"/>
    </xf>
    <xf numFmtId="0" fontId="6" fillId="41" borderId="16" xfId="0" applyNumberFormat="1" applyFont="1" applyFill="1" applyBorder="1" applyAlignment="1">
      <alignment horizontal="justify" vertical="center" wrapText="1"/>
    </xf>
    <xf numFmtId="0" fontId="1" fillId="41" borderId="16" xfId="0" applyFont="1" applyFill="1" applyBorder="1" applyAlignment="1">
      <alignment/>
    </xf>
    <xf numFmtId="0" fontId="4" fillId="41" borderId="16" xfId="99" applyFont="1" applyFill="1" applyBorder="1" applyAlignment="1">
      <alignment/>
      <protection/>
    </xf>
    <xf numFmtId="3" fontId="4" fillId="41" borderId="16" xfId="0" applyNumberFormat="1" applyFont="1" applyFill="1" applyBorder="1" applyAlignment="1">
      <alignment horizontal="right" vertical="center"/>
    </xf>
    <xf numFmtId="49" fontId="2" fillId="41" borderId="16" xfId="0" applyNumberFormat="1" applyFont="1" applyFill="1" applyBorder="1" applyAlignment="1">
      <alignment horizontal="center" vertical="center"/>
    </xf>
    <xf numFmtId="49" fontId="2" fillId="41" borderId="16" xfId="0" applyNumberFormat="1" applyFont="1" applyFill="1" applyBorder="1" applyAlignment="1">
      <alignment horizontal="center" vertical="center" wrapText="1"/>
    </xf>
    <xf numFmtId="0" fontId="2" fillId="41" borderId="16" xfId="0" applyFont="1" applyFill="1" applyBorder="1" applyAlignment="1">
      <alignment horizontal="left" vertical="center" wrapText="1"/>
    </xf>
    <xf numFmtId="49" fontId="35" fillId="41" borderId="16" xfId="0" applyNumberFormat="1" applyFont="1" applyFill="1" applyBorder="1" applyAlignment="1">
      <alignment horizontal="center" vertical="center"/>
    </xf>
    <xf numFmtId="49" fontId="35" fillId="41" borderId="16" xfId="0" applyNumberFormat="1" applyFont="1" applyFill="1" applyBorder="1" applyAlignment="1">
      <alignment horizontal="center" vertical="center" wrapText="1"/>
    </xf>
    <xf numFmtId="0" fontId="35" fillId="41" borderId="16" xfId="0" applyFont="1" applyFill="1" applyBorder="1" applyAlignment="1">
      <alignment horizontal="left" vertical="center" wrapText="1"/>
    </xf>
    <xf numFmtId="3" fontId="35" fillId="41" borderId="16" xfId="76" applyNumberFormat="1" applyFont="1" applyFill="1" applyBorder="1" applyAlignment="1">
      <alignment horizontal="center" vertical="center"/>
      <protection/>
    </xf>
    <xf numFmtId="194" fontId="2" fillId="41" borderId="16" xfId="0" applyNumberFormat="1" applyFont="1" applyFill="1" applyBorder="1" applyAlignment="1">
      <alignment horizontal="left" vertical="center" wrapText="1"/>
    </xf>
    <xf numFmtId="194" fontId="35" fillId="41" borderId="16" xfId="0" applyNumberFormat="1" applyFont="1" applyFill="1" applyBorder="1" applyAlignment="1">
      <alignment horizontal="left" vertical="center" wrapText="1"/>
    </xf>
    <xf numFmtId="3" fontId="35" fillId="41" borderId="17" xfId="76" applyNumberFormat="1" applyFont="1" applyFill="1" applyBorder="1" applyAlignment="1">
      <alignment horizontal="center" vertical="center" wrapText="1"/>
      <protection/>
    </xf>
    <xf numFmtId="49" fontId="52" fillId="41" borderId="16" xfId="0" applyNumberFormat="1" applyFont="1" applyFill="1" applyBorder="1" applyAlignment="1">
      <alignment horizontal="center" vertical="center" wrapText="1"/>
    </xf>
    <xf numFmtId="0" fontId="2" fillId="41" borderId="16" xfId="96" applyFont="1" applyFill="1" applyBorder="1" applyAlignment="1" applyProtection="1">
      <alignment horizontal="left" vertical="center" wrapText="1"/>
      <protection/>
    </xf>
    <xf numFmtId="49" fontId="35" fillId="43" borderId="16" xfId="74" applyNumberFormat="1" applyFont="1" applyFill="1" applyBorder="1" applyAlignment="1">
      <alignment horizontal="center" vertical="center"/>
      <protection/>
    </xf>
    <xf numFmtId="49" fontId="35" fillId="43" borderId="16" xfId="74" applyNumberFormat="1" applyFont="1" applyFill="1" applyBorder="1" applyAlignment="1">
      <alignment horizontal="center" vertical="center" wrapText="1"/>
      <protection/>
    </xf>
    <xf numFmtId="3" fontId="35" fillId="41" borderId="16" xfId="0" applyNumberFormat="1" applyFont="1" applyFill="1" applyBorder="1" applyAlignment="1">
      <alignment horizontal="center" vertical="center"/>
    </xf>
    <xf numFmtId="3" fontId="2" fillId="41" borderId="16" xfId="0" applyNumberFormat="1" applyFont="1" applyFill="1" applyBorder="1" applyAlignment="1">
      <alignment horizontal="center" vertical="center" wrapText="1"/>
    </xf>
    <xf numFmtId="3" fontId="6" fillId="40" borderId="0" xfId="0" applyNumberFormat="1" applyFont="1" applyFill="1" applyBorder="1" applyAlignment="1" applyProtection="1">
      <alignment vertical="center" wrapText="1"/>
      <protection/>
    </xf>
    <xf numFmtId="3" fontId="32" fillId="40" borderId="0" xfId="0" applyNumberFormat="1" applyFont="1" applyFill="1" applyBorder="1" applyAlignment="1" applyProtection="1">
      <alignment vertical="center" wrapText="1"/>
      <protection/>
    </xf>
    <xf numFmtId="3" fontId="6" fillId="40" borderId="0" xfId="0" applyNumberFormat="1" applyFont="1" applyFill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3" fontId="35" fillId="41" borderId="16" xfId="76" applyNumberFormat="1" applyFont="1" applyFill="1" applyBorder="1" applyAlignment="1">
      <alignment horizontal="center" vertical="center" wrapText="1"/>
      <protection/>
    </xf>
    <xf numFmtId="0" fontId="85" fillId="0" borderId="0" xfId="0" applyFont="1" applyFill="1" applyAlignment="1">
      <alignment horizontal="center" vertical="center" wrapText="1"/>
    </xf>
    <xf numFmtId="0" fontId="6" fillId="41" borderId="0" xfId="0" applyNumberFormat="1" applyFont="1" applyFill="1" applyAlignment="1" applyProtection="1">
      <alignment horizontal="center" vertical="center"/>
      <protection/>
    </xf>
    <xf numFmtId="49" fontId="86" fillId="41" borderId="16" xfId="0" applyNumberFormat="1" applyFont="1" applyFill="1" applyBorder="1" applyAlignment="1">
      <alignment horizontal="center" vertical="center"/>
    </xf>
    <xf numFmtId="49" fontId="86" fillId="41" borderId="16" xfId="97" applyNumberFormat="1" applyFont="1" applyFill="1" applyBorder="1" applyAlignment="1">
      <alignment horizontal="center" vertical="center"/>
      <protection/>
    </xf>
    <xf numFmtId="49" fontId="86" fillId="41" borderId="16" xfId="0" applyNumberFormat="1" applyFont="1" applyFill="1" applyBorder="1" applyAlignment="1" applyProtection="1">
      <alignment horizontal="center" vertical="center" wrapText="1"/>
      <protection/>
    </xf>
    <xf numFmtId="194" fontId="86" fillId="41" borderId="16" xfId="0" applyNumberFormat="1" applyFont="1" applyFill="1" applyBorder="1" applyAlignment="1" applyProtection="1">
      <alignment vertical="center" wrapText="1"/>
      <protection/>
    </xf>
    <xf numFmtId="0" fontId="86" fillId="41" borderId="16" xfId="0" applyFont="1" applyFill="1" applyBorder="1" applyAlignment="1">
      <alignment vertical="center" wrapText="1"/>
    </xf>
    <xf numFmtId="0" fontId="86" fillId="41" borderId="16" xfId="0" applyFont="1" applyFill="1" applyBorder="1" applyAlignment="1">
      <alignment wrapText="1"/>
    </xf>
    <xf numFmtId="0" fontId="86" fillId="41" borderId="16" xfId="0" applyFont="1" applyFill="1" applyBorder="1" applyAlignment="1">
      <alignment horizontal="justify" vertical="center" wrapText="1"/>
    </xf>
    <xf numFmtId="0" fontId="2" fillId="43" borderId="16" xfId="96" applyFont="1" applyFill="1" applyBorder="1" applyAlignment="1">
      <alignment horizontal="left" vertical="center" wrapText="1"/>
      <protection/>
    </xf>
    <xf numFmtId="0" fontId="35" fillId="43" borderId="16" xfId="96" applyFont="1" applyFill="1" applyBorder="1" applyAlignment="1">
      <alignment horizontal="left" vertical="center" wrapText="1"/>
      <protection/>
    </xf>
    <xf numFmtId="194" fontId="35" fillId="41" borderId="19" xfId="76" applyNumberFormat="1" applyFont="1" applyFill="1" applyBorder="1" applyAlignment="1">
      <alignment horizontal="center" vertical="center" wrapText="1"/>
      <protection/>
    </xf>
    <xf numFmtId="194" fontId="35" fillId="41" borderId="16" xfId="76" applyNumberFormat="1" applyFont="1" applyFill="1" applyBorder="1" applyAlignment="1">
      <alignment horizontal="center" vertical="center"/>
      <protection/>
    </xf>
    <xf numFmtId="0" fontId="1" fillId="41" borderId="0" xfId="0" applyNumberFormat="1" applyFont="1" applyFill="1" applyAlignment="1" applyProtection="1">
      <alignment horizontal="left" vertical="center" wrapText="1"/>
      <protection/>
    </xf>
    <xf numFmtId="0" fontId="5" fillId="40" borderId="0" xfId="0" applyFont="1" applyFill="1" applyAlignment="1">
      <alignment horizontal="center"/>
    </xf>
    <xf numFmtId="0" fontId="4" fillId="40" borderId="16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left" vertical="center" wrapText="1"/>
    </xf>
    <xf numFmtId="0" fontId="4" fillId="40" borderId="16" xfId="0" applyFont="1" applyFill="1" applyBorder="1" applyAlignment="1">
      <alignment/>
    </xf>
    <xf numFmtId="0" fontId="6" fillId="41" borderId="16" xfId="0" applyFont="1" applyFill="1" applyBorder="1" applyAlignment="1">
      <alignment horizontal="left" wrapText="1"/>
    </xf>
    <xf numFmtId="0" fontId="6" fillId="41" borderId="16" xfId="0" applyFont="1" applyFill="1" applyBorder="1" applyAlignment="1">
      <alignment horizontal="center"/>
    </xf>
    <xf numFmtId="0" fontId="4" fillId="41" borderId="16" xfId="0" applyFont="1" applyFill="1" applyBorder="1" applyAlignment="1">
      <alignment horizontal="center"/>
    </xf>
    <xf numFmtId="0" fontId="7" fillId="0" borderId="20" xfId="0" applyFont="1" applyBorder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194" fontId="87" fillId="41" borderId="16" xfId="0" applyNumberFormat="1" applyFont="1" applyFill="1" applyBorder="1" applyAlignment="1" applyProtection="1">
      <alignment vertical="center" wrapText="1"/>
      <protection/>
    </xf>
    <xf numFmtId="49" fontId="87" fillId="41" borderId="16" xfId="0" applyNumberFormat="1" applyFont="1" applyFill="1" applyBorder="1" applyAlignment="1" applyProtection="1">
      <alignment horizontal="center" vertical="center" wrapText="1"/>
      <protection/>
    </xf>
    <xf numFmtId="0" fontId="8" fillId="41" borderId="0" xfId="0" applyFont="1" applyFill="1" applyBorder="1" applyAlignment="1">
      <alignment vertical="distributed"/>
    </xf>
    <xf numFmtId="49" fontId="87" fillId="41" borderId="16" xfId="97" applyNumberFormat="1" applyFont="1" applyFill="1" applyBorder="1" applyAlignment="1">
      <alignment horizontal="center" vertical="center"/>
      <protection/>
    </xf>
    <xf numFmtId="49" fontId="87" fillId="41" borderId="16" xfId="0" applyNumberFormat="1" applyFont="1" applyFill="1" applyBorder="1" applyAlignment="1">
      <alignment horizontal="center" vertical="center"/>
    </xf>
    <xf numFmtId="0" fontId="87" fillId="41" borderId="16" xfId="0" applyFont="1" applyFill="1" applyBorder="1" applyAlignment="1">
      <alignment wrapText="1"/>
    </xf>
    <xf numFmtId="0" fontId="4" fillId="41" borderId="0" xfId="0" applyFont="1" applyFill="1" applyAlignment="1">
      <alignment/>
    </xf>
    <xf numFmtId="0" fontId="6" fillId="41" borderId="0" xfId="0" applyFont="1" applyFill="1" applyAlignment="1">
      <alignment/>
    </xf>
    <xf numFmtId="0" fontId="6" fillId="0" borderId="0" xfId="0" applyFont="1" applyAlignment="1">
      <alignment wrapText="1"/>
    </xf>
    <xf numFmtId="49" fontId="81" fillId="41" borderId="16" xfId="0" applyNumberFormat="1" applyFont="1" applyFill="1" applyBorder="1" applyAlignment="1">
      <alignment horizontal="center" vertical="center"/>
    </xf>
    <xf numFmtId="49" fontId="81" fillId="41" borderId="16" xfId="0" applyNumberFormat="1" applyFont="1" applyFill="1" applyBorder="1" applyAlignment="1">
      <alignment horizontal="center" vertical="center" wrapText="1"/>
    </xf>
    <xf numFmtId="194" fontId="81" fillId="41" borderId="16" xfId="0" applyNumberFormat="1" applyFont="1" applyFill="1" applyBorder="1" applyAlignment="1">
      <alignment horizontal="left" vertical="center" wrapText="1"/>
    </xf>
    <xf numFmtId="49" fontId="6" fillId="41" borderId="16" xfId="0" applyNumberFormat="1" applyFont="1" applyFill="1" applyBorder="1" applyAlignment="1">
      <alignment horizontal="center" vertical="center"/>
    </xf>
    <xf numFmtId="49" fontId="6" fillId="41" borderId="16" xfId="0" applyNumberFormat="1" applyFont="1" applyFill="1" applyBorder="1" applyAlignment="1">
      <alignment horizontal="center" vertical="distributed" wrapText="1"/>
    </xf>
    <xf numFmtId="0" fontId="5" fillId="40" borderId="0" xfId="0" applyFont="1" applyFill="1" applyAlignment="1">
      <alignment/>
    </xf>
    <xf numFmtId="49" fontId="6" fillId="40" borderId="0" xfId="0" applyNumberFormat="1" applyFont="1" applyFill="1" applyAlignment="1">
      <alignment/>
    </xf>
    <xf numFmtId="0" fontId="6" fillId="40" borderId="0" xfId="0" applyFont="1" applyFill="1" applyAlignment="1">
      <alignment horizontal="center"/>
    </xf>
    <xf numFmtId="3" fontId="4" fillId="41" borderId="16" xfId="0" applyNumberFormat="1" applyFont="1" applyFill="1" applyBorder="1" applyAlignment="1">
      <alignment horizontal="center" vertical="center"/>
    </xf>
    <xf numFmtId="0" fontId="4" fillId="40" borderId="16" xfId="0" applyFont="1" applyFill="1" applyBorder="1" applyAlignment="1">
      <alignment horizontal="center" wrapText="1"/>
    </xf>
    <xf numFmtId="3" fontId="4" fillId="40" borderId="16" xfId="0" applyNumberFormat="1" applyFont="1" applyFill="1" applyBorder="1" applyAlignment="1">
      <alignment/>
    </xf>
    <xf numFmtId="3" fontId="4" fillId="40" borderId="16" xfId="0" applyNumberFormat="1" applyFont="1" applyFill="1" applyBorder="1" applyAlignment="1">
      <alignment wrapText="1"/>
    </xf>
    <xf numFmtId="0" fontId="6" fillId="40" borderId="16" xfId="0" applyFont="1" applyFill="1" applyBorder="1" applyAlignment="1">
      <alignment horizontal="center" wrapText="1"/>
    </xf>
    <xf numFmtId="3" fontId="6" fillId="40" borderId="16" xfId="0" applyNumberFormat="1" applyFont="1" applyFill="1" applyBorder="1" applyAlignment="1">
      <alignment/>
    </xf>
    <xf numFmtId="3" fontId="6" fillId="40" borderId="16" xfId="100" applyNumberFormat="1" applyFont="1" applyFill="1" applyBorder="1">
      <alignment/>
      <protection/>
    </xf>
    <xf numFmtId="3" fontId="6" fillId="40" borderId="16" xfId="0" applyNumberFormat="1" applyFont="1" applyFill="1" applyBorder="1" applyAlignment="1">
      <alignment wrapText="1"/>
    </xf>
    <xf numFmtId="0" fontId="4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41" borderId="16" xfId="0" applyFont="1" applyFill="1" applyBorder="1" applyAlignment="1">
      <alignment horizontal="center" wrapText="1"/>
    </xf>
    <xf numFmtId="0" fontId="6" fillId="41" borderId="16" xfId="0" applyFont="1" applyFill="1" applyBorder="1" applyAlignment="1">
      <alignment wrapText="1"/>
    </xf>
    <xf numFmtId="3" fontId="6" fillId="41" borderId="16" xfId="0" applyNumberFormat="1" applyFont="1" applyFill="1" applyBorder="1" applyAlignment="1">
      <alignment/>
    </xf>
    <xf numFmtId="3" fontId="6" fillId="41" borderId="16" xfId="0" applyNumberFormat="1" applyFont="1" applyFill="1" applyBorder="1" applyAlignment="1">
      <alignment wrapText="1"/>
    </xf>
    <xf numFmtId="0" fontId="4" fillId="41" borderId="16" xfId="0" applyFont="1" applyFill="1" applyBorder="1" applyAlignment="1">
      <alignment horizontal="center" wrapText="1"/>
    </xf>
    <xf numFmtId="3" fontId="4" fillId="41" borderId="16" xfId="0" applyNumberFormat="1" applyFont="1" applyFill="1" applyBorder="1" applyAlignment="1">
      <alignment/>
    </xf>
    <xf numFmtId="3" fontId="4" fillId="41" borderId="16" xfId="0" applyNumberFormat="1" applyFont="1" applyFill="1" applyBorder="1" applyAlignment="1">
      <alignment wrapText="1"/>
    </xf>
    <xf numFmtId="0" fontId="13" fillId="40" borderId="16" xfId="0" applyFont="1" applyFill="1" applyBorder="1" applyAlignment="1">
      <alignment horizontal="center" wrapText="1"/>
    </xf>
    <xf numFmtId="0" fontId="6" fillId="41" borderId="0" xfId="0" applyFont="1" applyFill="1" applyAlignment="1">
      <alignment wrapText="1"/>
    </xf>
    <xf numFmtId="0" fontId="15" fillId="0" borderId="22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3" fontId="6" fillId="0" borderId="16" xfId="0" applyNumberFormat="1" applyFont="1" applyBorder="1" applyAlignment="1">
      <alignment horizontal="right" vertical="center"/>
    </xf>
    <xf numFmtId="3" fontId="6" fillId="0" borderId="16" xfId="0" applyNumberFormat="1" applyFont="1" applyFill="1" applyBorder="1" applyAlignment="1">
      <alignment horizontal="right" vertical="center" wrapText="1"/>
    </xf>
    <xf numFmtId="3" fontId="4" fillId="0" borderId="16" xfId="0" applyNumberFormat="1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 wrapText="1"/>
    </xf>
    <xf numFmtId="0" fontId="15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/>
    </xf>
    <xf numFmtId="3" fontId="4" fillId="0" borderId="16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/>
    </xf>
    <xf numFmtId="3" fontId="6" fillId="0" borderId="21" xfId="0" applyNumberFormat="1" applyFont="1" applyBorder="1" applyAlignment="1">
      <alignment horizontal="right" vertical="center"/>
    </xf>
    <xf numFmtId="3" fontId="6" fillId="0" borderId="22" xfId="0" applyNumberFormat="1" applyFont="1" applyBorder="1" applyAlignment="1">
      <alignment horizontal="right" vertical="center"/>
    </xf>
    <xf numFmtId="3" fontId="6" fillId="0" borderId="21" xfId="0" applyNumberFormat="1" applyFont="1" applyBorder="1" applyAlignment="1">
      <alignment horizontal="right" vertical="center" wrapText="1"/>
    </xf>
    <xf numFmtId="49" fontId="81" fillId="41" borderId="16" xfId="0" applyNumberFormat="1" applyFont="1" applyFill="1" applyBorder="1" applyAlignment="1">
      <alignment horizontal="center" vertical="center"/>
    </xf>
    <xf numFmtId="49" fontId="81" fillId="41" borderId="16" xfId="0" applyNumberFormat="1" applyFont="1" applyFill="1" applyBorder="1" applyAlignment="1">
      <alignment horizontal="center" vertical="center" wrapText="1"/>
    </xf>
    <xf numFmtId="194" fontId="81" fillId="41" borderId="16" xfId="0" applyNumberFormat="1" applyFont="1" applyFill="1" applyBorder="1" applyAlignment="1" applyProtection="1">
      <alignment horizontal="left" vertical="center" wrapText="1"/>
      <protection/>
    </xf>
    <xf numFmtId="3" fontId="6" fillId="41" borderId="16" xfId="97" applyNumberFormat="1" applyFont="1" applyFill="1" applyBorder="1" applyAlignment="1">
      <alignment horizontal="center" vertical="center"/>
      <protection/>
    </xf>
    <xf numFmtId="49" fontId="6" fillId="41" borderId="16" xfId="97" applyNumberFormat="1" applyFont="1" applyFill="1" applyBorder="1" applyAlignment="1">
      <alignment horizontal="center" vertical="center" wrapText="1"/>
      <protection/>
    </xf>
    <xf numFmtId="194" fontId="35" fillId="44" borderId="23" xfId="0" applyNumberFormat="1" applyFont="1" applyFill="1" applyBorder="1" applyAlignment="1">
      <alignment horizontal="center" vertical="center" wrapText="1"/>
    </xf>
    <xf numFmtId="0" fontId="35" fillId="41" borderId="0" xfId="0" applyNumberFormat="1" applyFont="1" applyFill="1" applyBorder="1" applyAlignment="1" applyProtection="1">
      <alignment horizontal="left" vertical="center" wrapText="1"/>
      <protection/>
    </xf>
    <xf numFmtId="0" fontId="32" fillId="41" borderId="16" xfId="73" applyFont="1" applyFill="1" applyBorder="1" applyAlignment="1">
      <alignment horizontal="left" vertical="top" wrapText="1"/>
      <protection/>
    </xf>
    <xf numFmtId="1" fontId="35" fillId="41" borderId="16" xfId="73" applyNumberFormat="1" applyFont="1" applyFill="1" applyBorder="1" applyAlignment="1">
      <alignment horizontal="center" vertical="center"/>
      <protection/>
    </xf>
    <xf numFmtId="3" fontId="32" fillId="41" borderId="19" xfId="76" applyNumberFormat="1" applyFont="1" applyFill="1" applyBorder="1" applyAlignment="1">
      <alignment horizontal="center" vertical="center" wrapText="1"/>
      <protection/>
    </xf>
    <xf numFmtId="3" fontId="35" fillId="41" borderId="19" xfId="76" applyNumberFormat="1" applyFont="1" applyFill="1" applyBorder="1" applyAlignment="1">
      <alignment horizontal="center" vertical="center" wrapText="1"/>
      <protection/>
    </xf>
    <xf numFmtId="194" fontId="35" fillId="41" borderId="24" xfId="76" applyNumberFormat="1" applyFont="1" applyFill="1" applyBorder="1" applyAlignment="1">
      <alignment horizontal="center" vertical="center" wrapText="1"/>
      <protection/>
    </xf>
    <xf numFmtId="194" fontId="35" fillId="41" borderId="25" xfId="76" applyNumberFormat="1" applyFont="1" applyFill="1" applyBorder="1" applyAlignment="1">
      <alignment horizontal="center" vertical="center"/>
      <protection/>
    </xf>
    <xf numFmtId="194" fontId="35" fillId="41" borderId="26" xfId="76" applyNumberFormat="1" applyFont="1" applyFill="1" applyBorder="1" applyAlignment="1">
      <alignment horizontal="center" vertical="center" wrapText="1"/>
      <protection/>
    </xf>
    <xf numFmtId="0" fontId="32" fillId="41" borderId="16" xfId="0" applyFont="1" applyFill="1" applyBorder="1" applyAlignment="1">
      <alignment vertical="top" wrapText="1"/>
    </xf>
    <xf numFmtId="0" fontId="2" fillId="41" borderId="16" xfId="0" applyFont="1" applyFill="1" applyBorder="1" applyAlignment="1">
      <alignment horizontal="center" vertical="center" wrapText="1"/>
    </xf>
    <xf numFmtId="194" fontId="2" fillId="41" borderId="25" xfId="0" applyNumberFormat="1" applyFont="1" applyFill="1" applyBorder="1" applyAlignment="1">
      <alignment horizontal="center" vertical="center" wrapText="1"/>
    </xf>
    <xf numFmtId="3" fontId="2" fillId="41" borderId="22" xfId="0" applyNumberFormat="1" applyFont="1" applyFill="1" applyBorder="1" applyAlignment="1">
      <alignment horizontal="center" vertical="center" wrapText="1"/>
    </xf>
    <xf numFmtId="194" fontId="2" fillId="41" borderId="16" xfId="0" applyNumberFormat="1" applyFont="1" applyFill="1" applyBorder="1" applyAlignment="1">
      <alignment horizontal="center" vertical="center" wrapText="1"/>
    </xf>
    <xf numFmtId="217" fontId="2" fillId="44" borderId="21" xfId="76" applyNumberFormat="1" applyFont="1" applyFill="1" applyBorder="1" applyAlignment="1">
      <alignment horizontal="center" vertical="center" wrapText="1"/>
      <protection/>
    </xf>
    <xf numFmtId="194" fontId="2" fillId="44" borderId="21" xfId="76" applyNumberFormat="1" applyFont="1" applyFill="1" applyBorder="1" applyAlignment="1">
      <alignment horizontal="center" vertical="center" wrapText="1"/>
      <protection/>
    </xf>
    <xf numFmtId="0" fontId="35" fillId="43" borderId="17" xfId="96" applyFont="1" applyFill="1" applyBorder="1" applyAlignment="1">
      <alignment horizontal="left" vertical="center" wrapText="1"/>
      <protection/>
    </xf>
    <xf numFmtId="0" fontId="35" fillId="44" borderId="16" xfId="96" applyFont="1" applyFill="1" applyBorder="1" applyAlignment="1">
      <alignment horizontal="left" vertical="center" wrapText="1"/>
      <protection/>
    </xf>
    <xf numFmtId="194" fontId="35" fillId="41" borderId="0" xfId="0" applyNumberFormat="1" applyFont="1" applyFill="1" applyBorder="1" applyAlignment="1" applyProtection="1">
      <alignment horizontal="center" vertical="center" wrapText="1"/>
      <protection/>
    </xf>
    <xf numFmtId="0" fontId="35" fillId="43" borderId="25" xfId="96" applyFont="1" applyFill="1" applyBorder="1" applyAlignment="1">
      <alignment horizontal="left" vertical="center" wrapText="1"/>
      <protection/>
    </xf>
    <xf numFmtId="0" fontId="35" fillId="43" borderId="26" xfId="96" applyFont="1" applyFill="1" applyBorder="1" applyAlignment="1">
      <alignment horizontal="left" vertical="center" wrapText="1"/>
      <protection/>
    </xf>
    <xf numFmtId="2" fontId="51" fillId="41" borderId="16" xfId="0" applyNumberFormat="1" applyFont="1" applyFill="1" applyBorder="1" applyAlignment="1">
      <alignment horizontal="center" vertical="center" wrapText="1"/>
    </xf>
    <xf numFmtId="3" fontId="35" fillId="41" borderId="16" xfId="0" applyNumberFormat="1" applyFont="1" applyFill="1" applyBorder="1" applyAlignment="1">
      <alignment horizontal="center" vertical="center" wrapText="1"/>
    </xf>
    <xf numFmtId="194" fontId="35" fillId="41" borderId="16" xfId="0" applyNumberFormat="1" applyFont="1" applyFill="1" applyBorder="1" applyAlignment="1">
      <alignment horizontal="center" vertical="center" wrapText="1"/>
    </xf>
    <xf numFmtId="49" fontId="53" fillId="40" borderId="0" xfId="0" applyNumberFormat="1" applyFont="1" applyFill="1" applyAlignment="1">
      <alignment vertical="center" wrapText="1"/>
    </xf>
    <xf numFmtId="0" fontId="0" fillId="0" borderId="0" xfId="0" applyAlignment="1">
      <alignment horizontal="right" vertical="center"/>
    </xf>
    <xf numFmtId="3" fontId="6" fillId="40" borderId="17" xfId="0" applyNumberFormat="1" applyFont="1" applyFill="1" applyBorder="1" applyAlignment="1">
      <alignment vertical="center"/>
    </xf>
    <xf numFmtId="0" fontId="60" fillId="0" borderId="0" xfId="0" applyFont="1" applyAlignment="1">
      <alignment/>
    </xf>
    <xf numFmtId="0" fontId="6" fillId="40" borderId="0" xfId="0" applyFont="1" applyFill="1" applyAlignment="1">
      <alignment horizontal="right"/>
    </xf>
    <xf numFmtId="3" fontId="88" fillId="0" borderId="0" xfId="0" applyNumberFormat="1" applyFont="1" applyFill="1" applyAlignment="1">
      <alignment vertical="center"/>
    </xf>
    <xf numFmtId="0" fontId="89" fillId="0" borderId="0" xfId="0" applyFont="1" applyFill="1" applyAlignment="1">
      <alignment/>
    </xf>
    <xf numFmtId="0" fontId="88" fillId="0" borderId="0" xfId="0" applyFont="1" applyFill="1" applyAlignment="1">
      <alignment/>
    </xf>
    <xf numFmtId="3" fontId="88" fillId="0" borderId="0" xfId="0" applyNumberFormat="1" applyFont="1" applyFill="1" applyAlignment="1">
      <alignment/>
    </xf>
    <xf numFmtId="3" fontId="89" fillId="0" borderId="0" xfId="0" applyNumberFormat="1" applyFont="1" applyFill="1" applyAlignment="1">
      <alignment/>
    </xf>
    <xf numFmtId="0" fontId="88" fillId="0" borderId="0" xfId="0" applyFont="1" applyFill="1" applyAlignment="1">
      <alignment vertical="center"/>
    </xf>
    <xf numFmtId="4" fontId="89" fillId="0" borderId="0" xfId="0" applyNumberFormat="1" applyFont="1" applyFill="1" applyAlignment="1">
      <alignment/>
    </xf>
    <xf numFmtId="4" fontId="88" fillId="0" borderId="0" xfId="0" applyNumberFormat="1" applyFont="1" applyFill="1" applyAlignment="1">
      <alignment/>
    </xf>
    <xf numFmtId="4" fontId="90" fillId="0" borderId="0" xfId="0" applyNumberFormat="1" applyFont="1" applyFill="1" applyBorder="1" applyAlignment="1">
      <alignment/>
    </xf>
    <xf numFmtId="4" fontId="89" fillId="0" borderId="0" xfId="0" applyNumberFormat="1" applyFont="1" applyFill="1" applyBorder="1" applyAlignment="1">
      <alignment/>
    </xf>
    <xf numFmtId="3" fontId="88" fillId="0" borderId="0" xfId="0" applyNumberFormat="1" applyFont="1" applyFill="1" applyBorder="1" applyAlignment="1">
      <alignment vertical="center" wrapText="1"/>
    </xf>
    <xf numFmtId="3" fontId="89" fillId="0" borderId="0" xfId="0" applyNumberFormat="1" applyFont="1" applyFill="1" applyBorder="1" applyAlignment="1">
      <alignment/>
    </xf>
    <xf numFmtId="0" fontId="4" fillId="41" borderId="16" xfId="0" applyFont="1" applyFill="1" applyBorder="1" applyAlignment="1">
      <alignment horizontal="center" vertical="center" wrapText="1"/>
    </xf>
    <xf numFmtId="3" fontId="4" fillId="41" borderId="16" xfId="0" applyNumberFormat="1" applyFont="1" applyFill="1" applyBorder="1" applyAlignment="1">
      <alignment horizontal="center" vertical="center"/>
    </xf>
    <xf numFmtId="0" fontId="6" fillId="41" borderId="0" xfId="0" applyNumberFormat="1" applyFont="1" applyFill="1" applyAlignment="1" applyProtection="1">
      <alignment horizontal="center" vertical="center"/>
      <protection/>
    </xf>
    <xf numFmtId="0" fontId="6" fillId="41" borderId="0" xfId="0" applyNumberFormat="1" applyFont="1" applyFill="1" applyBorder="1" applyAlignment="1" applyProtection="1">
      <alignment horizontal="left" vertical="center" wrapText="1"/>
      <protection/>
    </xf>
    <xf numFmtId="0" fontId="35" fillId="41" borderId="0" xfId="0" applyNumberFormat="1" applyFont="1" applyFill="1" applyAlignment="1" applyProtection="1">
      <alignment horizontal="left" vertical="center" wrapText="1"/>
      <protection/>
    </xf>
    <xf numFmtId="3" fontId="4" fillId="0" borderId="0" xfId="0" applyNumberFormat="1" applyFont="1" applyFill="1" applyAlignment="1">
      <alignment/>
    </xf>
    <xf numFmtId="0" fontId="6" fillId="41" borderId="0" xfId="0" applyNumberFormat="1" applyFont="1" applyFill="1" applyAlignment="1" applyProtection="1">
      <alignment horizontal="left" vertical="center" wrapText="1"/>
      <protection/>
    </xf>
    <xf numFmtId="0" fontId="2" fillId="41" borderId="0" xfId="0" applyNumberFormat="1" applyFont="1" applyFill="1" applyBorder="1" applyAlignment="1" applyProtection="1">
      <alignment horizontal="center" vertical="center" wrapText="1"/>
      <protection/>
    </xf>
    <xf numFmtId="0" fontId="6" fillId="41" borderId="0" xfId="0" applyFont="1" applyFill="1" applyAlignment="1">
      <alignment horizontal="center" vertical="center"/>
    </xf>
    <xf numFmtId="0" fontId="6" fillId="41" borderId="0" xfId="0" applyFont="1" applyFill="1" applyAlignment="1">
      <alignment horizontal="right"/>
    </xf>
    <xf numFmtId="194" fontId="4" fillId="41" borderId="16" xfId="76" applyNumberFormat="1" applyFont="1" applyFill="1" applyBorder="1" applyAlignment="1">
      <alignment horizontal="left" vertical="center"/>
      <protection/>
    </xf>
    <xf numFmtId="3" fontId="4" fillId="41" borderId="16" xfId="76" applyNumberFormat="1" applyFont="1" applyFill="1" applyBorder="1" applyAlignment="1">
      <alignment horizontal="left" vertical="center"/>
      <protection/>
    </xf>
    <xf numFmtId="3" fontId="4" fillId="41" borderId="16" xfId="76" applyNumberFormat="1" applyFont="1" applyFill="1" applyBorder="1" applyAlignment="1">
      <alignment horizontal="center" vertical="center"/>
      <protection/>
    </xf>
    <xf numFmtId="194" fontId="7" fillId="41" borderId="16" xfId="76" applyNumberFormat="1" applyFont="1" applyFill="1" applyBorder="1" applyAlignment="1">
      <alignment horizontal="left" vertical="center"/>
      <protection/>
    </xf>
    <xf numFmtId="3" fontId="7" fillId="41" borderId="16" xfId="76" applyNumberFormat="1" applyFont="1" applyFill="1" applyBorder="1" applyAlignment="1">
      <alignment horizontal="left" vertical="center"/>
      <protection/>
    </xf>
    <xf numFmtId="49" fontId="6" fillId="41" borderId="16" xfId="0" applyNumberFormat="1" applyFont="1" applyFill="1" applyBorder="1" applyAlignment="1">
      <alignment horizontal="center" vertical="center"/>
    </xf>
    <xf numFmtId="49" fontId="6" fillId="41" borderId="16" xfId="0" applyNumberFormat="1" applyFont="1" applyFill="1" applyBorder="1" applyAlignment="1">
      <alignment horizontal="center" vertical="center" wrapText="1"/>
    </xf>
    <xf numFmtId="3" fontId="6" fillId="41" borderId="16" xfId="76" applyNumberFormat="1" applyFont="1" applyFill="1" applyBorder="1" applyAlignment="1">
      <alignment horizontal="center" vertical="center"/>
      <protection/>
    </xf>
    <xf numFmtId="3" fontId="6" fillId="41" borderId="16" xfId="0" applyNumberFormat="1" applyFont="1" applyFill="1" applyBorder="1" applyAlignment="1">
      <alignment horizontal="center" vertical="center"/>
    </xf>
    <xf numFmtId="3" fontId="6" fillId="41" borderId="16" xfId="0" applyNumberFormat="1" applyFont="1" applyFill="1" applyBorder="1" applyAlignment="1">
      <alignment horizontal="center" vertical="center" wrapText="1"/>
    </xf>
    <xf numFmtId="49" fontId="6" fillId="41" borderId="16" xfId="0" applyNumberFormat="1" applyFont="1" applyFill="1" applyBorder="1" applyAlignment="1" applyProtection="1">
      <alignment horizontal="center" vertical="center" wrapText="1"/>
      <protection/>
    </xf>
    <xf numFmtId="0" fontId="6" fillId="41" borderId="16" xfId="0" applyFont="1" applyFill="1" applyBorder="1" applyAlignment="1">
      <alignment horizontal="left" vertical="center"/>
    </xf>
    <xf numFmtId="3" fontId="6" fillId="41" borderId="16" xfId="76" applyNumberFormat="1" applyFont="1" applyFill="1" applyBorder="1" applyAlignment="1">
      <alignment horizontal="center" vertical="center" wrapText="1"/>
      <protection/>
    </xf>
    <xf numFmtId="3" fontId="8" fillId="41" borderId="16" xfId="76" applyNumberFormat="1" applyFont="1" applyFill="1" applyBorder="1" applyAlignment="1">
      <alignment horizontal="center" vertical="center"/>
      <protection/>
    </xf>
    <xf numFmtId="194" fontId="4" fillId="41" borderId="16" xfId="0" applyNumberFormat="1" applyFont="1" applyFill="1" applyBorder="1" applyAlignment="1">
      <alignment horizontal="left" vertical="center"/>
    </xf>
    <xf numFmtId="3" fontId="4" fillId="41" borderId="16" xfId="76" applyNumberFormat="1" applyFont="1" applyFill="1" applyBorder="1" applyAlignment="1">
      <alignment horizontal="center" vertical="center" wrapText="1"/>
      <protection/>
    </xf>
    <xf numFmtId="0" fontId="6" fillId="41" borderId="0" xfId="0" applyFont="1" applyFill="1" applyAlignment="1">
      <alignment vertical="center"/>
    </xf>
    <xf numFmtId="49" fontId="6" fillId="41" borderId="16" xfId="0" applyNumberFormat="1" applyFont="1" applyFill="1" applyBorder="1" applyAlignment="1">
      <alignment horizontal="left" vertical="center" wrapText="1"/>
    </xf>
    <xf numFmtId="0" fontId="6" fillId="41" borderId="16" xfId="91" applyFont="1" applyFill="1" applyBorder="1" applyAlignment="1">
      <alignment horizontal="left" vertical="center" wrapText="1"/>
      <protection/>
    </xf>
    <xf numFmtId="49" fontId="6" fillId="41" borderId="16" xfId="91" applyNumberFormat="1" applyFont="1" applyFill="1" applyBorder="1" applyAlignment="1">
      <alignment horizontal="center" vertical="center"/>
      <protection/>
    </xf>
    <xf numFmtId="49" fontId="6" fillId="41" borderId="16" xfId="91" applyNumberFormat="1" applyFont="1" applyFill="1" applyBorder="1" applyAlignment="1" applyProtection="1">
      <alignment horizontal="center" vertical="center" wrapText="1"/>
      <protection/>
    </xf>
    <xf numFmtId="194" fontId="6" fillId="41" borderId="16" xfId="76" applyNumberFormat="1" applyFont="1" applyFill="1" applyBorder="1" applyAlignment="1" applyProtection="1">
      <alignment horizontal="left" vertical="center" wrapText="1"/>
      <protection locked="0"/>
    </xf>
    <xf numFmtId="0" fontId="6" fillId="41" borderId="16" xfId="0" applyNumberFormat="1" applyFont="1" applyFill="1" applyBorder="1" applyAlignment="1">
      <alignment horizontal="left" vertical="center" wrapText="1"/>
    </xf>
    <xf numFmtId="3" fontId="6" fillId="40" borderId="0" xfId="0" applyNumberFormat="1" applyFont="1" applyFill="1" applyBorder="1" applyAlignment="1" applyProtection="1">
      <alignment horizontal="center" vertical="center" wrapText="1"/>
      <protection/>
    </xf>
    <xf numFmtId="0" fontId="6" fillId="41" borderId="16" xfId="96" applyFont="1" applyFill="1" applyBorder="1" applyAlignment="1" applyProtection="1">
      <alignment horizontal="left" vertical="center" wrapText="1"/>
      <protection/>
    </xf>
    <xf numFmtId="0" fontId="35" fillId="41" borderId="16" xfId="96" applyFont="1" applyFill="1" applyBorder="1" applyAlignment="1" applyProtection="1">
      <alignment horizontal="left" vertical="center" wrapText="1"/>
      <protection/>
    </xf>
    <xf numFmtId="0" fontId="35" fillId="41" borderId="16" xfId="73" applyFont="1" applyFill="1" applyBorder="1" applyAlignment="1">
      <alignment vertical="top" wrapText="1"/>
      <protection/>
    </xf>
    <xf numFmtId="0" fontId="6" fillId="41" borderId="0" xfId="0" applyNumberFormat="1" applyFont="1" applyFill="1" applyAlignment="1" applyProtection="1">
      <alignment/>
      <protection/>
    </xf>
    <xf numFmtId="0" fontId="35" fillId="41" borderId="0" xfId="0" applyNumberFormat="1" applyFont="1" applyFill="1" applyAlignment="1" applyProtection="1">
      <alignment/>
      <protection/>
    </xf>
    <xf numFmtId="0" fontId="35" fillId="41" borderId="0" xfId="0" applyNumberFormat="1" applyFont="1" applyFill="1" applyAlignment="1" applyProtection="1">
      <alignment vertical="center" wrapText="1"/>
      <protection/>
    </xf>
    <xf numFmtId="194" fontId="35" fillId="41" borderId="0" xfId="0" applyNumberFormat="1" applyFont="1" applyFill="1" applyAlignment="1" applyProtection="1">
      <alignment horizontal="center" vertical="center"/>
      <protection/>
    </xf>
    <xf numFmtId="0" fontId="2" fillId="41" borderId="0" xfId="0" applyNumberFormat="1" applyFont="1" applyFill="1" applyBorder="1" applyAlignment="1" applyProtection="1">
      <alignment horizontal="center"/>
      <protection/>
    </xf>
    <xf numFmtId="0" fontId="35" fillId="41" borderId="0" xfId="0" applyFont="1" applyFill="1" applyBorder="1" applyAlignment="1">
      <alignment horizontal="center"/>
    </xf>
    <xf numFmtId="0" fontId="35" fillId="41" borderId="0" xfId="0" applyFont="1" applyFill="1" applyAlignment="1">
      <alignment vertical="center"/>
    </xf>
    <xf numFmtId="3" fontId="35" fillId="41" borderId="0" xfId="0" applyNumberFormat="1" applyFont="1" applyFill="1" applyBorder="1" applyAlignment="1">
      <alignment horizontal="right" vertical="center" wrapText="1"/>
    </xf>
    <xf numFmtId="194" fontId="2" fillId="41" borderId="0" xfId="0" applyNumberFormat="1" applyFont="1" applyFill="1" applyBorder="1" applyAlignment="1" applyProtection="1">
      <alignment horizontal="center" vertical="center" wrapText="1"/>
      <protection/>
    </xf>
    <xf numFmtId="194" fontId="35" fillId="41" borderId="0" xfId="0" applyNumberFormat="1" applyFont="1" applyFill="1" applyBorder="1" applyAlignment="1">
      <alignment horizontal="center" vertical="center" wrapText="1"/>
    </xf>
    <xf numFmtId="0" fontId="6" fillId="41" borderId="0" xfId="0" applyNumberFormat="1" applyFont="1" applyFill="1" applyBorder="1" applyAlignment="1" applyProtection="1">
      <alignment/>
      <protection/>
    </xf>
    <xf numFmtId="0" fontId="2" fillId="41" borderId="16" xfId="0" applyNumberFormat="1" applyFont="1" applyFill="1" applyBorder="1" applyAlignment="1" applyProtection="1">
      <alignment horizontal="center" vertical="center" wrapText="1"/>
      <protection/>
    </xf>
    <xf numFmtId="1" fontId="6" fillId="41" borderId="0" xfId="0" applyNumberFormat="1" applyFont="1" applyFill="1" applyBorder="1" applyAlignment="1" applyProtection="1">
      <alignment/>
      <protection/>
    </xf>
    <xf numFmtId="1" fontId="35" fillId="41" borderId="16" xfId="0" applyNumberFormat="1" applyFont="1" applyFill="1" applyBorder="1" applyAlignment="1" applyProtection="1">
      <alignment horizontal="center" vertical="center" wrapText="1"/>
      <protection/>
    </xf>
    <xf numFmtId="3" fontId="35" fillId="41" borderId="16" xfId="0" applyNumberFormat="1" applyFont="1" applyFill="1" applyBorder="1" applyAlignment="1" applyProtection="1">
      <alignment horizontal="center" vertical="center" wrapText="1"/>
      <protection/>
    </xf>
    <xf numFmtId="194" fontId="35" fillId="41" borderId="16" xfId="0" applyNumberFormat="1" applyFont="1" applyFill="1" applyBorder="1" applyAlignment="1" applyProtection="1">
      <alignment horizontal="center" vertical="center" wrapText="1"/>
      <protection/>
    </xf>
    <xf numFmtId="194" fontId="35" fillId="41" borderId="25" xfId="0" applyNumberFormat="1" applyFont="1" applyFill="1" applyBorder="1" applyAlignment="1" applyProtection="1">
      <alignment horizontal="center" vertical="center" wrapText="1"/>
      <protection/>
    </xf>
    <xf numFmtId="1" fontId="6" fillId="41" borderId="0" xfId="0" applyNumberFormat="1" applyFont="1" applyFill="1" applyAlignment="1">
      <alignment/>
    </xf>
    <xf numFmtId="49" fontId="2" fillId="44" borderId="22" xfId="0" applyNumberFormat="1" applyFont="1" applyFill="1" applyBorder="1" applyAlignment="1">
      <alignment horizontal="center" vertical="center"/>
    </xf>
    <xf numFmtId="49" fontId="2" fillId="44" borderId="22" xfId="0" applyNumberFormat="1" applyFont="1" applyFill="1" applyBorder="1" applyAlignment="1">
      <alignment horizontal="center" vertical="center" wrapText="1"/>
    </xf>
    <xf numFmtId="194" fontId="2" fillId="44" borderId="22" xfId="0" applyNumberFormat="1" applyFont="1" applyFill="1" applyBorder="1" applyAlignment="1">
      <alignment horizontal="left" vertical="center" wrapText="1"/>
    </xf>
    <xf numFmtId="194" fontId="2" fillId="44" borderId="22" xfId="76" applyNumberFormat="1" applyFont="1" applyFill="1" applyBorder="1" applyAlignment="1">
      <alignment horizontal="left" vertical="center"/>
      <protection/>
    </xf>
    <xf numFmtId="194" fontId="2" fillId="44" borderId="22" xfId="76" applyNumberFormat="1" applyFont="1" applyFill="1" applyBorder="1" applyAlignment="1">
      <alignment horizontal="center" vertical="center"/>
      <protection/>
    </xf>
    <xf numFmtId="3" fontId="2" fillId="44" borderId="22" xfId="76" applyNumberFormat="1" applyFont="1" applyFill="1" applyBorder="1" applyAlignment="1">
      <alignment horizontal="center" vertical="center" wrapText="1"/>
      <protection/>
    </xf>
    <xf numFmtId="194" fontId="2" fillId="44" borderId="22" xfId="76" applyNumberFormat="1" applyFont="1" applyFill="1" applyBorder="1" applyAlignment="1">
      <alignment horizontal="center" vertical="center" wrapText="1"/>
      <protection/>
    </xf>
    <xf numFmtId="194" fontId="2" fillId="44" borderId="23" xfId="76" applyNumberFormat="1" applyFont="1" applyFill="1" applyBorder="1" applyAlignment="1">
      <alignment horizontal="center" vertical="center" wrapText="1"/>
      <protection/>
    </xf>
    <xf numFmtId="217" fontId="2" fillId="44" borderId="22" xfId="76" applyNumberFormat="1" applyFont="1" applyFill="1" applyBorder="1" applyAlignment="1">
      <alignment horizontal="center" vertical="center" wrapText="1"/>
      <protection/>
    </xf>
    <xf numFmtId="0" fontId="2" fillId="44" borderId="22" xfId="0" applyFont="1" applyFill="1" applyBorder="1" applyAlignment="1">
      <alignment horizontal="left" vertical="center" wrapText="1"/>
    </xf>
    <xf numFmtId="194" fontId="2" fillId="44" borderId="21" xfId="76" applyNumberFormat="1" applyFont="1" applyFill="1" applyBorder="1" applyAlignment="1">
      <alignment horizontal="left" vertical="center"/>
      <protection/>
    </xf>
    <xf numFmtId="194" fontId="2" fillId="44" borderId="21" xfId="76" applyNumberFormat="1" applyFont="1" applyFill="1" applyBorder="1" applyAlignment="1">
      <alignment horizontal="center" vertical="center"/>
      <protection/>
    </xf>
    <xf numFmtId="49" fontId="35" fillId="44" borderId="22" xfId="0" applyNumberFormat="1" applyFont="1" applyFill="1" applyBorder="1" applyAlignment="1">
      <alignment horizontal="center" vertical="center"/>
    </xf>
    <xf numFmtId="49" fontId="35" fillId="44" borderId="22" xfId="0" applyNumberFormat="1" applyFont="1" applyFill="1" applyBorder="1" applyAlignment="1">
      <alignment horizontal="center" vertical="center" wrapText="1"/>
    </xf>
    <xf numFmtId="0" fontId="35" fillId="44" borderId="23" xfId="0" applyFont="1" applyFill="1" applyBorder="1" applyAlignment="1">
      <alignment horizontal="left" vertical="center" wrapText="1"/>
    </xf>
    <xf numFmtId="1" fontId="35" fillId="44" borderId="16" xfId="92" applyNumberFormat="1" applyFont="1" applyFill="1" applyBorder="1" applyAlignment="1">
      <alignment horizontal="left" vertical="center" wrapText="1"/>
      <protection/>
    </xf>
    <xf numFmtId="194" fontId="2" fillId="44" borderId="16" xfId="76" applyNumberFormat="1" applyFont="1" applyFill="1" applyBorder="1" applyAlignment="1">
      <alignment horizontal="center" vertical="center"/>
      <protection/>
    </xf>
    <xf numFmtId="194" fontId="35" fillId="44" borderId="27" xfId="76" applyNumberFormat="1" applyFont="1" applyFill="1" applyBorder="1" applyAlignment="1">
      <alignment horizontal="center" vertical="center" wrapText="1"/>
      <protection/>
    </xf>
    <xf numFmtId="0" fontId="35" fillId="44" borderId="22" xfId="0" applyFont="1" applyFill="1" applyBorder="1" applyAlignment="1">
      <alignment horizontal="left" vertical="center" wrapText="1"/>
    </xf>
    <xf numFmtId="1" fontId="35" fillId="44" borderId="28" xfId="92" applyNumberFormat="1" applyFont="1" applyFill="1" applyBorder="1" applyAlignment="1">
      <alignment horizontal="left" vertical="center" wrapText="1"/>
      <protection/>
    </xf>
    <xf numFmtId="49" fontId="2" fillId="41" borderId="29" xfId="0" applyNumberFormat="1" applyFont="1" applyFill="1" applyBorder="1" applyAlignment="1">
      <alignment horizontal="center" vertical="center" wrapText="1"/>
    </xf>
    <xf numFmtId="3" fontId="35" fillId="41" borderId="29" xfId="0" applyNumberFormat="1" applyFont="1" applyFill="1" applyBorder="1" applyAlignment="1">
      <alignment horizontal="center" vertical="center" wrapText="1"/>
    </xf>
    <xf numFmtId="194" fontId="35" fillId="41" borderId="29" xfId="0" applyNumberFormat="1" applyFont="1" applyFill="1" applyBorder="1" applyAlignment="1">
      <alignment horizontal="center" vertical="center" wrapText="1"/>
    </xf>
    <xf numFmtId="3" fontId="51" fillId="41" borderId="29" xfId="0" applyNumberFormat="1" applyFont="1" applyFill="1" applyBorder="1" applyAlignment="1">
      <alignment horizontal="center" vertical="center" wrapText="1"/>
    </xf>
    <xf numFmtId="194" fontId="35" fillId="41" borderId="23" xfId="0" applyNumberFormat="1" applyFont="1" applyFill="1" applyBorder="1" applyAlignment="1">
      <alignment horizontal="center" vertical="center"/>
    </xf>
    <xf numFmtId="0" fontId="35" fillId="44" borderId="21" xfId="0" applyFont="1" applyFill="1" applyBorder="1" applyAlignment="1">
      <alignment horizontal="left" wrapText="1"/>
    </xf>
    <xf numFmtId="2" fontId="2" fillId="41" borderId="0" xfId="0" applyNumberFormat="1" applyFont="1" applyFill="1" applyBorder="1" applyAlignment="1">
      <alignment horizontal="center" vertical="center" wrapText="1"/>
    </xf>
    <xf numFmtId="3" fontId="35" fillId="41" borderId="21" xfId="0" applyNumberFormat="1" applyFont="1" applyFill="1" applyBorder="1" applyAlignment="1">
      <alignment horizontal="center" vertical="center" wrapText="1"/>
    </xf>
    <xf numFmtId="194" fontId="35" fillId="41" borderId="22" xfId="0" applyNumberFormat="1" applyFont="1" applyFill="1" applyBorder="1" applyAlignment="1">
      <alignment horizontal="center" vertical="center" wrapText="1"/>
    </xf>
    <xf numFmtId="3" fontId="51" fillId="41" borderId="22" xfId="0" applyNumberFormat="1" applyFont="1" applyFill="1" applyBorder="1" applyAlignment="1">
      <alignment horizontal="center" vertical="center" wrapText="1"/>
    </xf>
    <xf numFmtId="194" fontId="35" fillId="44" borderId="23" xfId="76" applyNumberFormat="1" applyFont="1" applyFill="1" applyBorder="1" applyAlignment="1">
      <alignment horizontal="center" vertical="center" wrapText="1"/>
      <protection/>
    </xf>
    <xf numFmtId="0" fontId="35" fillId="44" borderId="22" xfId="0" applyFont="1" applyFill="1" applyBorder="1" applyAlignment="1">
      <alignment horizontal="center" vertical="center" wrapText="1"/>
    </xf>
    <xf numFmtId="217" fontId="35" fillId="44" borderId="22" xfId="76" applyNumberFormat="1" applyFont="1" applyFill="1" applyBorder="1" applyAlignment="1">
      <alignment horizontal="center" vertical="center" wrapText="1"/>
      <protection/>
    </xf>
    <xf numFmtId="49" fontId="2" fillId="44" borderId="22" xfId="97" applyNumberFormat="1" applyFont="1" applyFill="1" applyBorder="1" applyAlignment="1">
      <alignment horizontal="center" vertical="center" wrapText="1"/>
      <protection/>
    </xf>
    <xf numFmtId="49" fontId="35" fillId="44" borderId="22" xfId="97" applyNumberFormat="1" applyFont="1" applyFill="1" applyBorder="1" applyAlignment="1">
      <alignment horizontal="center" vertical="center" wrapText="1"/>
      <protection/>
    </xf>
    <xf numFmtId="1" fontId="35" fillId="44" borderId="21" xfId="92" applyNumberFormat="1" applyFont="1" applyFill="1" applyBorder="1" applyAlignment="1">
      <alignment horizontal="left" vertical="center" wrapText="1"/>
      <protection/>
    </xf>
    <xf numFmtId="1" fontId="35" fillId="44" borderId="21" xfId="91" applyNumberFormat="1" applyFont="1" applyFill="1" applyBorder="1" applyAlignment="1" applyProtection="1">
      <alignment horizontal="center" vertical="center" wrapText="1"/>
      <protection/>
    </xf>
    <xf numFmtId="3" fontId="35" fillId="41" borderId="22" xfId="0" applyNumberFormat="1" applyFont="1" applyFill="1" applyBorder="1" applyAlignment="1">
      <alignment horizontal="center" vertical="center" wrapText="1"/>
    </xf>
    <xf numFmtId="194" fontId="35" fillId="44" borderId="23" xfId="0" applyNumberFormat="1" applyFont="1" applyFill="1" applyBorder="1" applyAlignment="1" applyProtection="1">
      <alignment horizontal="center" vertical="center" wrapText="1"/>
      <protection/>
    </xf>
    <xf numFmtId="3" fontId="35" fillId="44" borderId="22" xfId="0" applyNumberFormat="1" applyFont="1" applyFill="1" applyBorder="1" applyAlignment="1">
      <alignment horizontal="center" vertical="center" wrapText="1"/>
    </xf>
    <xf numFmtId="194" fontId="35" fillId="44" borderId="22" xfId="0" applyNumberFormat="1" applyFont="1" applyFill="1" applyBorder="1" applyAlignment="1">
      <alignment horizontal="center" vertical="center" wrapText="1"/>
    </xf>
    <xf numFmtId="1" fontId="51" fillId="44" borderId="21" xfId="91" applyNumberFormat="1" applyFont="1" applyFill="1" applyBorder="1" applyAlignment="1" applyProtection="1">
      <alignment horizontal="center" vertical="center" wrapText="1"/>
      <protection/>
    </xf>
    <xf numFmtId="1" fontId="35" fillId="41" borderId="20" xfId="0" applyNumberFormat="1" applyFont="1" applyFill="1" applyBorder="1" applyAlignment="1">
      <alignment horizontal="left" vertical="center" wrapText="1"/>
    </xf>
    <xf numFmtId="194" fontId="2" fillId="44" borderId="23" xfId="0" applyNumberFormat="1" applyFont="1" applyFill="1" applyBorder="1" applyAlignment="1">
      <alignment horizontal="center" vertical="center" wrapText="1"/>
    </xf>
    <xf numFmtId="0" fontId="35" fillId="44" borderId="22" xfId="96" applyFont="1" applyFill="1" applyBorder="1" applyAlignment="1">
      <alignment horizontal="left" vertical="center" wrapText="1"/>
      <protection/>
    </xf>
    <xf numFmtId="194" fontId="2" fillId="41" borderId="22" xfId="0" applyNumberFormat="1" applyFont="1" applyFill="1" applyBorder="1" applyAlignment="1">
      <alignment horizontal="center" vertical="center" wrapText="1"/>
    </xf>
    <xf numFmtId="1" fontId="32" fillId="41" borderId="0" xfId="0" applyNumberFormat="1" applyFont="1" applyFill="1" applyAlignment="1">
      <alignment/>
    </xf>
    <xf numFmtId="49" fontId="35" fillId="44" borderId="23" xfId="0" applyNumberFormat="1" applyFont="1" applyFill="1" applyBorder="1" applyAlignment="1">
      <alignment horizontal="center" vertical="center" wrapText="1"/>
    </xf>
    <xf numFmtId="1" fontId="51" fillId="44" borderId="16" xfId="91" applyNumberFormat="1" applyFont="1" applyFill="1" applyBorder="1" applyAlignment="1" applyProtection="1">
      <alignment horizontal="center" vertical="center" wrapText="1"/>
      <protection/>
    </xf>
    <xf numFmtId="1" fontId="35" fillId="44" borderId="16" xfId="91" applyNumberFormat="1" applyFont="1" applyFill="1" applyBorder="1" applyAlignment="1" applyProtection="1">
      <alignment horizontal="center" vertical="center" wrapText="1"/>
      <protection/>
    </xf>
    <xf numFmtId="194" fontId="2" fillId="41" borderId="30" xfId="0" applyNumberFormat="1" applyFont="1" applyFill="1" applyBorder="1" applyAlignment="1">
      <alignment horizontal="center" vertical="center" wrapText="1"/>
    </xf>
    <xf numFmtId="49" fontId="35" fillId="44" borderId="21" xfId="0" applyNumberFormat="1" applyFont="1" applyFill="1" applyBorder="1" applyAlignment="1">
      <alignment horizontal="center" vertical="center" wrapText="1"/>
    </xf>
    <xf numFmtId="194" fontId="35" fillId="44" borderId="27" xfId="0" applyNumberFormat="1" applyFont="1" applyFill="1" applyBorder="1" applyAlignment="1">
      <alignment horizontal="center" vertical="center" wrapText="1"/>
    </xf>
    <xf numFmtId="49" fontId="35" fillId="44" borderId="16" xfId="0" applyNumberFormat="1" applyFont="1" applyFill="1" applyBorder="1" applyAlignment="1">
      <alignment horizontal="center" vertical="center" wrapText="1"/>
    </xf>
    <xf numFmtId="49" fontId="2" fillId="44" borderId="23" xfId="0" applyNumberFormat="1" applyFont="1" applyFill="1" applyBorder="1" applyAlignment="1">
      <alignment horizontal="center" vertical="center"/>
    </xf>
    <xf numFmtId="49" fontId="2" fillId="44" borderId="16" xfId="97" applyNumberFormat="1" applyFont="1" applyFill="1" applyBorder="1" applyAlignment="1">
      <alignment horizontal="center" vertical="center"/>
      <protection/>
    </xf>
    <xf numFmtId="0" fontId="2" fillId="44" borderId="25" xfId="0" applyFont="1" applyFill="1" applyBorder="1" applyAlignment="1">
      <alignment horizontal="left" vertical="center" wrapText="1"/>
    </xf>
    <xf numFmtId="0" fontId="56" fillId="41" borderId="16" xfId="0" applyFont="1" applyFill="1" applyBorder="1" applyAlignment="1">
      <alignment horizontal="center" vertical="center" wrapText="1"/>
    </xf>
    <xf numFmtId="2" fontId="57" fillId="41" borderId="16" xfId="0" applyNumberFormat="1" applyFont="1" applyFill="1" applyBorder="1" applyAlignment="1">
      <alignment horizontal="center" vertical="center" wrapText="1"/>
    </xf>
    <xf numFmtId="194" fontId="58" fillId="41" borderId="16" xfId="0" applyNumberFormat="1" applyFont="1" applyFill="1" applyBorder="1" applyAlignment="1">
      <alignment horizontal="center" vertical="center" wrapText="1"/>
    </xf>
    <xf numFmtId="3" fontId="56" fillId="41" borderId="27" xfId="0" applyNumberFormat="1" applyFont="1" applyFill="1" applyBorder="1" applyAlignment="1">
      <alignment horizontal="center" vertical="center" wrapText="1"/>
    </xf>
    <xf numFmtId="1" fontId="6" fillId="41" borderId="0" xfId="0" applyNumberFormat="1" applyFont="1" applyFill="1" applyBorder="1" applyAlignment="1">
      <alignment/>
    </xf>
    <xf numFmtId="49" fontId="35" fillId="44" borderId="29" xfId="97" applyNumberFormat="1" applyFont="1" applyFill="1" applyBorder="1" applyAlignment="1">
      <alignment horizontal="center" vertical="center"/>
      <protection/>
    </xf>
    <xf numFmtId="0" fontId="35" fillId="44" borderId="31" xfId="0" applyFont="1" applyFill="1" applyBorder="1" applyAlignment="1">
      <alignment horizontal="left" vertical="center" wrapText="1"/>
    </xf>
    <xf numFmtId="49" fontId="35" fillId="44" borderId="21" xfId="0" applyNumberFormat="1" applyFont="1" applyFill="1" applyBorder="1" applyAlignment="1">
      <alignment horizontal="center" vertical="center"/>
    </xf>
    <xf numFmtId="49" fontId="35" fillId="44" borderId="21" xfId="97" applyNumberFormat="1" applyFont="1" applyFill="1" applyBorder="1" applyAlignment="1">
      <alignment horizontal="center" vertical="center"/>
      <protection/>
    </xf>
    <xf numFmtId="0" fontId="35" fillId="44" borderId="32" xfId="0" applyFont="1" applyFill="1" applyBorder="1" applyAlignment="1">
      <alignment horizontal="left" vertical="center" wrapText="1"/>
    </xf>
    <xf numFmtId="194" fontId="35" fillId="44" borderId="33" xfId="0" applyNumberFormat="1" applyFont="1" applyFill="1" applyBorder="1" applyAlignment="1">
      <alignment horizontal="center" vertical="center" wrapText="1"/>
    </xf>
    <xf numFmtId="194" fontId="35" fillId="44" borderId="34" xfId="0" applyNumberFormat="1" applyFont="1" applyFill="1" applyBorder="1" applyAlignment="1">
      <alignment horizontal="center" vertical="center" wrapText="1"/>
    </xf>
    <xf numFmtId="0" fontId="35" fillId="44" borderId="21" xfId="0" applyFont="1" applyFill="1" applyBorder="1" applyAlignment="1">
      <alignment horizontal="left" vertical="center" wrapText="1"/>
    </xf>
    <xf numFmtId="2" fontId="51" fillId="41" borderId="29" xfId="0" applyNumberFormat="1" applyFont="1" applyFill="1" applyBorder="1" applyAlignment="1">
      <alignment horizontal="center" vertical="center" wrapText="1"/>
    </xf>
    <xf numFmtId="194" fontId="35" fillId="44" borderId="25" xfId="0" applyNumberFormat="1" applyFont="1" applyFill="1" applyBorder="1" applyAlignment="1">
      <alignment horizontal="center" vertical="center" wrapText="1"/>
    </xf>
    <xf numFmtId="194" fontId="2" fillId="41" borderId="16" xfId="76" applyNumberFormat="1" applyFont="1" applyFill="1" applyBorder="1" applyAlignment="1">
      <alignment horizontal="left" vertical="center" wrapText="1"/>
      <protection/>
    </xf>
    <xf numFmtId="3" fontId="2" fillId="41" borderId="16" xfId="76" applyNumberFormat="1" applyFont="1" applyFill="1" applyBorder="1" applyAlignment="1">
      <alignment horizontal="center" vertical="center" wrapText="1"/>
      <protection/>
    </xf>
    <xf numFmtId="194" fontId="2" fillId="41" borderId="16" xfId="76" applyNumberFormat="1" applyFont="1" applyFill="1" applyBorder="1" applyAlignment="1">
      <alignment horizontal="center" vertical="center" wrapText="1"/>
      <protection/>
    </xf>
    <xf numFmtId="194" fontId="2" fillId="41" borderId="25" xfId="76" applyNumberFormat="1" applyFont="1" applyFill="1" applyBorder="1" applyAlignment="1">
      <alignment horizontal="center" vertical="center" wrapText="1"/>
      <protection/>
    </xf>
    <xf numFmtId="194" fontId="35" fillId="41" borderId="35" xfId="0" applyNumberFormat="1" applyFont="1" applyFill="1" applyBorder="1" applyAlignment="1">
      <alignment horizontal="center" vertical="center" wrapText="1"/>
    </xf>
    <xf numFmtId="2" fontId="2" fillId="41" borderId="19" xfId="0" applyNumberFormat="1" applyFont="1" applyFill="1" applyBorder="1" applyAlignment="1">
      <alignment horizontal="center" vertical="center" wrapText="1"/>
    </xf>
    <xf numFmtId="3" fontId="2" fillId="41" borderId="19" xfId="0" applyNumberFormat="1" applyFont="1" applyFill="1" applyBorder="1" applyAlignment="1">
      <alignment horizontal="center" vertical="center" wrapText="1"/>
    </xf>
    <xf numFmtId="3" fontId="51" fillId="41" borderId="30" xfId="0" applyNumberFormat="1" applyFont="1" applyFill="1" applyBorder="1" applyAlignment="1">
      <alignment horizontal="center" vertical="center" wrapText="1"/>
    </xf>
    <xf numFmtId="2" fontId="2" fillId="41" borderId="16" xfId="0" applyNumberFormat="1" applyFont="1" applyFill="1" applyBorder="1" applyAlignment="1">
      <alignment horizontal="center" vertical="center" wrapText="1"/>
    </xf>
    <xf numFmtId="3" fontId="32" fillId="41" borderId="19" xfId="76" applyNumberFormat="1" applyFont="1" applyFill="1" applyBorder="1" applyAlignment="1">
      <alignment horizontal="center" vertical="center"/>
      <protection/>
    </xf>
    <xf numFmtId="3" fontId="35" fillId="41" borderId="19" xfId="76" applyNumberFormat="1" applyFont="1" applyFill="1" applyBorder="1" applyAlignment="1">
      <alignment horizontal="center" vertical="center"/>
      <protection/>
    </xf>
    <xf numFmtId="49" fontId="35" fillId="41" borderId="16" xfId="0" applyNumberFormat="1" applyFont="1" applyFill="1" applyBorder="1" applyAlignment="1" applyProtection="1">
      <alignment horizontal="center" vertical="center" wrapText="1"/>
      <protection/>
    </xf>
    <xf numFmtId="0" fontId="35" fillId="41" borderId="17" xfId="0" applyFont="1" applyFill="1" applyBorder="1" applyAlignment="1">
      <alignment vertical="center" wrapText="1"/>
    </xf>
    <xf numFmtId="0" fontId="35" fillId="41" borderId="16" xfId="73" applyFont="1" applyFill="1" applyBorder="1" applyAlignment="1">
      <alignment horizontal="center" vertical="center" wrapText="1"/>
      <protection/>
    </xf>
    <xf numFmtId="194" fontId="35" fillId="41" borderId="16" xfId="76" applyNumberFormat="1" applyFont="1" applyFill="1" applyBorder="1" applyAlignment="1">
      <alignment horizontal="center" vertical="center" wrapText="1"/>
      <protection/>
    </xf>
    <xf numFmtId="194" fontId="35" fillId="41" borderId="25" xfId="76" applyNumberFormat="1" applyFont="1" applyFill="1" applyBorder="1" applyAlignment="1">
      <alignment horizontal="center" vertical="center" wrapText="1"/>
      <protection/>
    </xf>
    <xf numFmtId="3" fontId="6" fillId="41" borderId="0" xfId="0" applyNumberFormat="1" applyFont="1" applyFill="1" applyAlignment="1">
      <alignment/>
    </xf>
    <xf numFmtId="0" fontId="32" fillId="41" borderId="17" xfId="73" applyFont="1" applyFill="1" applyBorder="1" applyAlignment="1">
      <alignment horizontal="left" vertical="top" wrapText="1"/>
      <protection/>
    </xf>
    <xf numFmtId="0" fontId="35" fillId="41" borderId="17" xfId="73" applyFont="1" applyFill="1" applyBorder="1" applyAlignment="1">
      <alignment horizontal="center" vertical="center" wrapText="1"/>
      <protection/>
    </xf>
    <xf numFmtId="194" fontId="35" fillId="41" borderId="17" xfId="76" applyNumberFormat="1" applyFont="1" applyFill="1" applyBorder="1" applyAlignment="1">
      <alignment horizontal="center" vertical="center" wrapText="1"/>
      <protection/>
    </xf>
    <xf numFmtId="3" fontId="32" fillId="41" borderId="0" xfId="0" applyNumberFormat="1" applyFont="1" applyFill="1" applyAlignment="1">
      <alignment/>
    </xf>
    <xf numFmtId="0" fontId="32" fillId="41" borderId="16" xfId="73" applyFont="1" applyFill="1" applyBorder="1" applyAlignment="1">
      <alignment vertical="top" wrapText="1"/>
      <protection/>
    </xf>
    <xf numFmtId="3" fontId="32" fillId="41" borderId="16" xfId="76" applyNumberFormat="1" applyFont="1" applyFill="1" applyBorder="1" applyAlignment="1">
      <alignment horizontal="center" vertical="center" wrapText="1"/>
      <protection/>
    </xf>
    <xf numFmtId="0" fontId="35" fillId="41" borderId="16" xfId="0" applyNumberFormat="1" applyFont="1" applyFill="1" applyBorder="1" applyAlignment="1">
      <alignment horizontal="center" vertical="center" wrapText="1"/>
    </xf>
    <xf numFmtId="1" fontId="35" fillId="41" borderId="16" xfId="0" applyNumberFormat="1" applyFont="1" applyFill="1" applyBorder="1" applyAlignment="1">
      <alignment horizontal="left" vertical="center" wrapText="1"/>
    </xf>
    <xf numFmtId="0" fontId="35" fillId="44" borderId="29" xfId="96" applyFont="1" applyFill="1" applyBorder="1" applyAlignment="1">
      <alignment horizontal="left" vertical="center" wrapText="1"/>
      <protection/>
    </xf>
    <xf numFmtId="1" fontId="51" fillId="44" borderId="19" xfId="91" applyNumberFormat="1" applyFont="1" applyFill="1" applyBorder="1" applyAlignment="1" applyProtection="1">
      <alignment horizontal="center" vertical="center" wrapText="1"/>
      <protection/>
    </xf>
    <xf numFmtId="1" fontId="35" fillId="44" borderId="28" xfId="91" applyNumberFormat="1" applyFont="1" applyFill="1" applyBorder="1" applyAlignment="1" applyProtection="1">
      <alignment horizontal="center" vertical="center" wrapText="1"/>
      <protection/>
    </xf>
    <xf numFmtId="1" fontId="51" fillId="41" borderId="16" xfId="91" applyNumberFormat="1" applyFont="1" applyFill="1" applyBorder="1" applyAlignment="1" applyProtection="1">
      <alignment horizontal="center" vertical="center" wrapText="1"/>
      <protection/>
    </xf>
    <xf numFmtId="1" fontId="35" fillId="41" borderId="36" xfId="0" applyNumberFormat="1" applyFont="1" applyFill="1" applyBorder="1" applyAlignment="1">
      <alignment horizontal="left" vertical="center" wrapText="1"/>
    </xf>
    <xf numFmtId="1" fontId="35" fillId="44" borderId="35" xfId="91" applyNumberFormat="1" applyFont="1" applyFill="1" applyBorder="1" applyAlignment="1" applyProtection="1">
      <alignment horizontal="center" vertical="center" wrapText="1"/>
      <protection/>
    </xf>
    <xf numFmtId="49" fontId="35" fillId="41" borderId="22" xfId="0" applyNumberFormat="1" applyFont="1" applyFill="1" applyBorder="1" applyAlignment="1">
      <alignment horizontal="center" vertical="center" wrapText="1"/>
    </xf>
    <xf numFmtId="1" fontId="35" fillId="41" borderId="17" xfId="0" applyNumberFormat="1" applyFont="1" applyFill="1" applyBorder="1" applyAlignment="1">
      <alignment horizontal="left" vertical="center" wrapText="1"/>
    </xf>
    <xf numFmtId="3" fontId="35" fillId="41" borderId="30" xfId="0" applyNumberFormat="1" applyFont="1" applyFill="1" applyBorder="1" applyAlignment="1">
      <alignment horizontal="center" vertical="center" wrapText="1"/>
    </xf>
    <xf numFmtId="1" fontId="35" fillId="44" borderId="17" xfId="91" applyNumberFormat="1" applyFont="1" applyFill="1" applyBorder="1" applyAlignment="1" applyProtection="1">
      <alignment horizontal="center" vertical="center" wrapText="1"/>
      <protection/>
    </xf>
    <xf numFmtId="3" fontId="35" fillId="41" borderId="35" xfId="0" applyNumberFormat="1" applyFont="1" applyFill="1" applyBorder="1" applyAlignment="1">
      <alignment horizontal="center" vertical="center" wrapText="1"/>
    </xf>
    <xf numFmtId="194" fontId="2" fillId="41" borderId="21" xfId="0" applyNumberFormat="1" applyFont="1" applyFill="1" applyBorder="1" applyAlignment="1">
      <alignment horizontal="center" vertical="center" wrapText="1"/>
    </xf>
    <xf numFmtId="194" fontId="2" fillId="41" borderId="16" xfId="0" applyNumberFormat="1" applyFont="1" applyFill="1" applyBorder="1" applyAlignment="1">
      <alignment horizontal="left" vertical="center"/>
    </xf>
    <xf numFmtId="0" fontId="2" fillId="41" borderId="0" xfId="0" applyFont="1" applyFill="1" applyAlignment="1">
      <alignment/>
    </xf>
    <xf numFmtId="3" fontId="6" fillId="41" borderId="0" xfId="0" applyNumberFormat="1" applyFont="1" applyFill="1" applyAlignment="1" applyProtection="1">
      <alignment horizontal="right" vertical="center" wrapText="1"/>
      <protection/>
    </xf>
    <xf numFmtId="194" fontId="6" fillId="41" borderId="0" xfId="0" applyNumberFormat="1" applyFont="1" applyFill="1" applyAlignment="1" applyProtection="1">
      <alignment horizontal="center" vertical="center" wrapText="1"/>
      <protection/>
    </xf>
    <xf numFmtId="0" fontId="6" fillId="41" borderId="0" xfId="98" applyFont="1" applyFill="1" applyBorder="1" applyAlignment="1">
      <alignment horizontal="left"/>
      <protection/>
    </xf>
    <xf numFmtId="3" fontId="6" fillId="41" borderId="0" xfId="0" applyNumberFormat="1" applyFont="1" applyFill="1" applyAlignment="1">
      <alignment horizontal="right" vertical="center" wrapText="1"/>
    </xf>
    <xf numFmtId="194" fontId="6" fillId="41" borderId="0" xfId="0" applyNumberFormat="1" applyFont="1" applyFill="1" applyAlignment="1">
      <alignment horizontal="center" vertical="center"/>
    </xf>
    <xf numFmtId="3" fontId="6" fillId="41" borderId="0" xfId="0" applyNumberFormat="1" applyFont="1" applyFill="1" applyAlignment="1">
      <alignment horizontal="right" wrapText="1"/>
    </xf>
    <xf numFmtId="194" fontId="6" fillId="41" borderId="0" xfId="0" applyNumberFormat="1" applyFont="1" applyFill="1" applyAlignment="1">
      <alignment horizontal="center" vertical="center" wrapText="1"/>
    </xf>
    <xf numFmtId="0" fontId="35" fillId="41" borderId="0" xfId="0" applyFont="1" applyFill="1" applyAlignment="1">
      <alignment/>
    </xf>
    <xf numFmtId="3" fontId="6" fillId="41" borderId="0" xfId="0" applyNumberFormat="1" applyFont="1" applyFill="1" applyBorder="1" applyAlignment="1" applyProtection="1">
      <alignment horizontal="right" vertical="center" wrapText="1"/>
      <protection/>
    </xf>
    <xf numFmtId="194" fontId="6" fillId="41" borderId="0" xfId="0" applyNumberFormat="1" applyFont="1" applyFill="1" applyBorder="1" applyAlignment="1" applyProtection="1">
      <alignment horizontal="center" vertical="center" wrapText="1"/>
      <protection/>
    </xf>
    <xf numFmtId="1" fontId="35" fillId="44" borderId="32" xfId="92" applyNumberFormat="1" applyFont="1" applyFill="1" applyBorder="1" applyAlignment="1">
      <alignment horizontal="left" vertical="center" wrapText="1"/>
      <protection/>
    </xf>
    <xf numFmtId="0" fontId="32" fillId="41" borderId="25" xfId="0" applyFont="1" applyFill="1" applyBorder="1" applyAlignment="1">
      <alignment vertical="top" wrapText="1"/>
    </xf>
    <xf numFmtId="1" fontId="35" fillId="44" borderId="16" xfId="91" applyNumberFormat="1" applyFont="1" applyFill="1" applyBorder="1" applyAlignment="1" applyProtection="1">
      <alignment vertical="center" wrapText="1"/>
      <protection/>
    </xf>
    <xf numFmtId="194" fontId="35" fillId="44" borderId="16" xfId="91" applyNumberFormat="1" applyFont="1" applyFill="1" applyBorder="1" applyAlignment="1" applyProtection="1">
      <alignment horizontal="center" vertical="center" wrapText="1"/>
      <protection/>
    </xf>
    <xf numFmtId="1" fontId="35" fillId="44" borderId="37" xfId="91" applyNumberFormat="1" applyFont="1" applyFill="1" applyBorder="1" applyAlignment="1" applyProtection="1">
      <alignment horizontal="center" vertical="center" wrapText="1"/>
      <protection/>
    </xf>
    <xf numFmtId="3" fontId="35" fillId="41" borderId="37" xfId="0" applyNumberFormat="1" applyFont="1" applyFill="1" applyBorder="1" applyAlignment="1">
      <alignment horizontal="center" vertical="center" wrapText="1"/>
    </xf>
    <xf numFmtId="3" fontId="35" fillId="44" borderId="22" xfId="76" applyNumberFormat="1" applyFont="1" applyFill="1" applyBorder="1" applyAlignment="1">
      <alignment horizontal="center" vertical="center" wrapText="1"/>
      <protection/>
    </xf>
    <xf numFmtId="1" fontId="35" fillId="44" borderId="38" xfId="91" applyNumberFormat="1" applyFont="1" applyFill="1" applyBorder="1" applyAlignment="1" applyProtection="1">
      <alignment horizontal="center" vertical="center" wrapText="1"/>
      <protection/>
    </xf>
    <xf numFmtId="3" fontId="35" fillId="41" borderId="38" xfId="0" applyNumberFormat="1" applyFont="1" applyFill="1" applyBorder="1" applyAlignment="1">
      <alignment horizontal="center" vertical="center" wrapText="1"/>
    </xf>
    <xf numFmtId="2" fontId="35" fillId="41" borderId="22" xfId="0" applyNumberFormat="1" applyFont="1" applyFill="1" applyBorder="1" applyAlignment="1">
      <alignment horizontal="center" vertical="center" wrapText="1"/>
    </xf>
    <xf numFmtId="1" fontId="35" fillId="44" borderId="21" xfId="91" applyNumberFormat="1" applyFont="1" applyFill="1" applyBorder="1" applyAlignment="1" applyProtection="1">
      <alignment vertical="center" wrapText="1"/>
      <protection/>
    </xf>
    <xf numFmtId="49" fontId="51" fillId="41" borderId="16" xfId="0" applyNumberFormat="1" applyFont="1" applyFill="1" applyBorder="1" applyAlignment="1">
      <alignment horizontal="center" vertical="center" wrapText="1"/>
    </xf>
    <xf numFmtId="0" fontId="35" fillId="44" borderId="16" xfId="0" applyFont="1" applyFill="1" applyBorder="1" applyAlignment="1">
      <alignment horizontal="center" vertical="center" wrapText="1"/>
    </xf>
    <xf numFmtId="3" fontId="35" fillId="44" borderId="16" xfId="0" applyNumberFormat="1" applyFont="1" applyFill="1" applyBorder="1" applyAlignment="1" applyProtection="1">
      <alignment horizontal="center" vertical="center" wrapText="1"/>
      <protection/>
    </xf>
    <xf numFmtId="194" fontId="35" fillId="44" borderId="16" xfId="0" applyNumberFormat="1" applyFont="1" applyFill="1" applyBorder="1" applyAlignment="1" applyProtection="1">
      <alignment horizontal="center" vertical="center" wrapText="1"/>
      <protection/>
    </xf>
    <xf numFmtId="194" fontId="4" fillId="41" borderId="19" xfId="0" applyNumberFormat="1" applyFont="1" applyFill="1" applyBorder="1" applyAlignment="1">
      <alignment horizontal="left" vertical="center" wrapText="1"/>
    </xf>
    <xf numFmtId="3" fontId="4" fillId="41" borderId="19" xfId="0" applyNumberFormat="1" applyFont="1" applyFill="1" applyBorder="1" applyAlignment="1">
      <alignment horizontal="left" vertical="center" wrapText="1"/>
    </xf>
    <xf numFmtId="3" fontId="4" fillId="41" borderId="0" xfId="0" applyNumberFormat="1" applyFont="1" applyFill="1" applyAlignment="1">
      <alignment/>
    </xf>
    <xf numFmtId="1" fontId="51" fillId="44" borderId="39" xfId="91" applyNumberFormat="1" applyFont="1" applyFill="1" applyBorder="1" applyAlignment="1" applyProtection="1">
      <alignment horizontal="left" vertical="center" wrapText="1"/>
      <protection/>
    </xf>
    <xf numFmtId="1" fontId="35" fillId="44" borderId="17" xfId="92" applyNumberFormat="1" applyFont="1" applyFill="1" applyBorder="1" applyAlignment="1">
      <alignment horizontal="left" vertical="center" wrapText="1"/>
      <protection/>
    </xf>
    <xf numFmtId="1" fontId="2" fillId="41" borderId="17" xfId="0" applyNumberFormat="1" applyFont="1" applyFill="1" applyBorder="1" applyAlignment="1">
      <alignment horizontal="center" vertical="center" wrapText="1"/>
    </xf>
    <xf numFmtId="3" fontId="35" fillId="41" borderId="17" xfId="0" applyNumberFormat="1" applyFont="1" applyFill="1" applyBorder="1" applyAlignment="1">
      <alignment horizontal="center" vertical="center" wrapText="1"/>
    </xf>
    <xf numFmtId="3" fontId="51" fillId="41" borderId="21" xfId="0" applyNumberFormat="1" applyFont="1" applyFill="1" applyBorder="1" applyAlignment="1">
      <alignment horizontal="center" vertical="center" wrapText="1"/>
    </xf>
    <xf numFmtId="194" fontId="35" fillId="41" borderId="32" xfId="0" applyNumberFormat="1" applyFont="1" applyFill="1" applyBorder="1" applyAlignment="1">
      <alignment horizontal="center" vertical="center"/>
    </xf>
    <xf numFmtId="49" fontId="35" fillId="44" borderId="29" xfId="0" applyNumberFormat="1" applyFont="1" applyFill="1" applyBorder="1" applyAlignment="1">
      <alignment horizontal="center" vertical="center"/>
    </xf>
    <xf numFmtId="49" fontId="35" fillId="44" borderId="29" xfId="0" applyNumberFormat="1" applyFont="1" applyFill="1" applyBorder="1" applyAlignment="1">
      <alignment horizontal="center" vertical="center" wrapText="1"/>
    </xf>
    <xf numFmtId="0" fontId="35" fillId="44" borderId="29" xfId="0" applyFont="1" applyFill="1" applyBorder="1" applyAlignment="1">
      <alignment horizontal="left" vertical="center" wrapText="1"/>
    </xf>
    <xf numFmtId="194" fontId="35" fillId="41" borderId="19" xfId="0" applyNumberFormat="1" applyFont="1" applyFill="1" applyBorder="1" applyAlignment="1">
      <alignment horizontal="center" vertical="center" wrapText="1"/>
    </xf>
    <xf numFmtId="3" fontId="51" fillId="41" borderId="40" xfId="0" applyNumberFormat="1" applyFont="1" applyFill="1" applyBorder="1" applyAlignment="1">
      <alignment horizontal="center" vertical="center" wrapText="1"/>
    </xf>
    <xf numFmtId="194" fontId="35" fillId="41" borderId="31" xfId="0" applyNumberFormat="1" applyFont="1" applyFill="1" applyBorder="1" applyAlignment="1">
      <alignment horizontal="center" vertical="center"/>
    </xf>
    <xf numFmtId="49" fontId="35" fillId="44" borderId="16" xfId="0" applyNumberFormat="1" applyFont="1" applyFill="1" applyBorder="1" applyAlignment="1">
      <alignment horizontal="center" vertical="center"/>
    </xf>
    <xf numFmtId="0" fontId="35" fillId="44" borderId="16" xfId="0" applyFont="1" applyFill="1" applyBorder="1" applyAlignment="1">
      <alignment horizontal="left" vertical="center" wrapText="1"/>
    </xf>
    <xf numFmtId="49" fontId="6" fillId="41" borderId="16" xfId="0" applyNumberFormat="1" applyFont="1" applyFill="1" applyBorder="1" applyAlignment="1">
      <alignment horizontal="center" vertical="center"/>
    </xf>
    <xf numFmtId="0" fontId="6" fillId="41" borderId="16" xfId="0" applyFont="1" applyFill="1" applyBorder="1" applyAlignment="1">
      <alignment horizontal="left" vertical="center" wrapText="1"/>
    </xf>
    <xf numFmtId="49" fontId="6" fillId="41" borderId="16" xfId="0" applyNumberFormat="1" applyFont="1" applyFill="1" applyBorder="1" applyAlignment="1">
      <alignment horizontal="center" vertical="center" wrapText="1"/>
    </xf>
    <xf numFmtId="194" fontId="6" fillId="41" borderId="16" xfId="0" applyNumberFormat="1" applyFont="1" applyFill="1" applyBorder="1" applyAlignment="1" applyProtection="1">
      <alignment horizontal="left" vertical="center" wrapText="1"/>
      <protection/>
    </xf>
    <xf numFmtId="3" fontId="6" fillId="41" borderId="16" xfId="76" applyNumberFormat="1" applyFont="1" applyFill="1" applyBorder="1" applyAlignment="1">
      <alignment horizontal="left" vertical="center" wrapText="1"/>
      <protection/>
    </xf>
    <xf numFmtId="194" fontId="6" fillId="41" borderId="16" xfId="76" applyNumberFormat="1" applyFont="1" applyFill="1" applyBorder="1" applyAlignment="1">
      <alignment horizontal="left" vertical="center" wrapText="1"/>
      <protection/>
    </xf>
    <xf numFmtId="194" fontId="6" fillId="41" borderId="19" xfId="0" applyNumberFormat="1" applyFont="1" applyFill="1" applyBorder="1" applyAlignment="1">
      <alignment horizontal="left" vertical="center" wrapText="1"/>
    </xf>
    <xf numFmtId="3" fontId="6" fillId="41" borderId="19" xfId="0" applyNumberFormat="1" applyFont="1" applyFill="1" applyBorder="1" applyAlignment="1">
      <alignment horizontal="left" vertical="center" wrapText="1"/>
    </xf>
    <xf numFmtId="0" fontId="6" fillId="41" borderId="16" xfId="76" applyNumberFormat="1" applyFont="1" applyFill="1" applyBorder="1" applyAlignment="1">
      <alignment horizontal="left" vertical="center" wrapText="1"/>
      <protection/>
    </xf>
    <xf numFmtId="3" fontId="6" fillId="41" borderId="17" xfId="76" applyNumberFormat="1" applyFont="1" applyFill="1" applyBorder="1" applyAlignment="1">
      <alignment horizontal="left" vertical="center" wrapText="1"/>
      <protection/>
    </xf>
    <xf numFmtId="49" fontId="6" fillId="41" borderId="16" xfId="0" applyNumberFormat="1" applyFont="1" applyFill="1" applyBorder="1" applyAlignment="1">
      <alignment horizontal="center" vertical="center"/>
    </xf>
    <xf numFmtId="49" fontId="6" fillId="41" borderId="16" xfId="0" applyNumberFormat="1" applyFont="1" applyFill="1" applyBorder="1" applyAlignment="1">
      <alignment horizontal="center" vertical="center" wrapText="1"/>
    </xf>
    <xf numFmtId="0" fontId="0" fillId="41" borderId="16" xfId="0" applyNumberFormat="1" applyFont="1" applyFill="1" applyBorder="1" applyAlignment="1">
      <alignment horizontal="left" vertical="center" wrapText="1"/>
    </xf>
    <xf numFmtId="0" fontId="4" fillId="41" borderId="16" xfId="76" applyNumberFormat="1" applyFont="1" applyFill="1" applyBorder="1" applyAlignment="1">
      <alignment horizontal="left" vertical="center" wrapText="1"/>
      <protection/>
    </xf>
    <xf numFmtId="0" fontId="6" fillId="41" borderId="0" xfId="0" applyFont="1" applyFill="1" applyAlignment="1">
      <alignment horizontal="left" wrapText="1"/>
    </xf>
    <xf numFmtId="3" fontId="13" fillId="41" borderId="16" xfId="0" applyNumberFormat="1" applyFont="1" applyFill="1" applyBorder="1" applyAlignment="1">
      <alignment horizontal="left" vertical="center"/>
    </xf>
    <xf numFmtId="0" fontId="6" fillId="41" borderId="0" xfId="0" applyFont="1" applyFill="1" applyAlignment="1">
      <alignment horizontal="left" vertical="center" wrapText="1"/>
    </xf>
    <xf numFmtId="0" fontId="35" fillId="41" borderId="22" xfId="96" applyFont="1" applyFill="1" applyBorder="1" applyAlignment="1">
      <alignment horizontal="left" vertical="center" wrapText="1"/>
      <protection/>
    </xf>
    <xf numFmtId="0" fontId="4" fillId="41" borderId="16" xfId="99" applyFont="1" applyFill="1" applyBorder="1" applyAlignment="1">
      <alignment horizontal="left"/>
      <protection/>
    </xf>
    <xf numFmtId="3" fontId="2" fillId="41" borderId="0" xfId="0" applyNumberFormat="1" applyFont="1" applyFill="1" applyAlignment="1">
      <alignment/>
    </xf>
    <xf numFmtId="0" fontId="4" fillId="41" borderId="16" xfId="0" applyFont="1" applyFill="1" applyBorder="1" applyAlignment="1">
      <alignment horizontal="center" vertical="center" wrapText="1"/>
    </xf>
    <xf numFmtId="0" fontId="4" fillId="40" borderId="16" xfId="0" applyFont="1" applyFill="1" applyBorder="1" applyAlignment="1">
      <alignment horizontal="center" vertical="center"/>
    </xf>
    <xf numFmtId="3" fontId="4" fillId="41" borderId="16" xfId="0" applyNumberFormat="1" applyFont="1" applyFill="1" applyBorder="1" applyAlignment="1">
      <alignment horizontal="center" vertical="center" wrapText="1"/>
    </xf>
    <xf numFmtId="3" fontId="4" fillId="41" borderId="16" xfId="0" applyNumberFormat="1" applyFont="1" applyFill="1" applyBorder="1" applyAlignment="1">
      <alignment horizontal="center" vertical="center"/>
    </xf>
    <xf numFmtId="0" fontId="6" fillId="0" borderId="0" xfId="98" applyFont="1" applyBorder="1" applyAlignment="1">
      <alignment horizontal="left"/>
      <protection/>
    </xf>
    <xf numFmtId="0" fontId="1" fillId="41" borderId="0" xfId="0" applyNumberFormat="1" applyFont="1" applyFill="1" applyAlignment="1" applyProtection="1">
      <alignment horizontal="left" vertical="center" wrapText="1"/>
      <protection/>
    </xf>
    <xf numFmtId="0" fontId="50" fillId="40" borderId="0" xfId="0" applyFont="1" applyFill="1" applyAlignment="1">
      <alignment horizontal="center"/>
    </xf>
    <xf numFmtId="0" fontId="5" fillId="40" borderId="0" xfId="0" applyFont="1" applyFill="1" applyAlignment="1">
      <alignment horizontal="center"/>
    </xf>
    <xf numFmtId="0" fontId="2" fillId="40" borderId="0" xfId="0" applyFont="1" applyFill="1" applyAlignment="1">
      <alignment horizontal="center"/>
    </xf>
    <xf numFmtId="49" fontId="49" fillId="40" borderId="0" xfId="0" applyNumberFormat="1" applyFont="1" applyFill="1" applyAlignment="1">
      <alignment horizontal="center"/>
    </xf>
    <xf numFmtId="0" fontId="6" fillId="40" borderId="0" xfId="0" applyFont="1" applyFill="1" applyAlignment="1">
      <alignment horizontal="center" vertical="top"/>
    </xf>
    <xf numFmtId="0" fontId="6" fillId="0" borderId="0" xfId="98" applyFont="1" applyBorder="1" applyAlignment="1">
      <alignment horizontal="center"/>
      <protection/>
    </xf>
    <xf numFmtId="0" fontId="6" fillId="41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center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49" fontId="53" fillId="40" borderId="0" xfId="0" applyNumberFormat="1" applyFont="1" applyFill="1" applyBorder="1" applyAlignment="1" applyProtection="1">
      <alignment horizontal="left" vertical="center" wrapText="1"/>
      <protection/>
    </xf>
    <xf numFmtId="0" fontId="6" fillId="41" borderId="0" xfId="0" applyNumberFormat="1" applyFont="1" applyFill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85" fillId="0" borderId="0" xfId="0" applyFont="1" applyFill="1" applyAlignment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81" fillId="41" borderId="0" xfId="0" applyNumberFormat="1" applyFont="1" applyFill="1" applyBorder="1" applyAlignment="1" applyProtection="1">
      <alignment horizontal="left" vertical="center" wrapText="1"/>
      <protection/>
    </xf>
    <xf numFmtId="49" fontId="85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 applyProtection="1">
      <alignment horizontal="left" vertical="top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49" fontId="53" fillId="40" borderId="0" xfId="0" applyNumberFormat="1" applyFont="1" applyFill="1" applyBorder="1" applyAlignment="1" applyProtection="1">
      <alignment horizontal="center" vertical="center" wrapText="1"/>
      <protection/>
    </xf>
    <xf numFmtId="0" fontId="82" fillId="0" borderId="18" xfId="0" applyFont="1" applyBorder="1" applyAlignment="1">
      <alignment horizontal="center" vertical="center"/>
    </xf>
    <xf numFmtId="0" fontId="41" fillId="0" borderId="17" xfId="0" applyNumberFormat="1" applyFont="1" applyFill="1" applyBorder="1" applyAlignment="1" applyProtection="1">
      <alignment horizontal="center" vertical="center" wrapText="1"/>
      <protection/>
    </xf>
    <xf numFmtId="0" fontId="41" fillId="0" borderId="41" xfId="0" applyNumberFormat="1" applyFont="1" applyFill="1" applyBorder="1" applyAlignment="1" applyProtection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 wrapText="1"/>
      <protection/>
    </xf>
    <xf numFmtId="0" fontId="44" fillId="0" borderId="16" xfId="0" applyNumberFormat="1" applyFont="1" applyFill="1" applyBorder="1" applyAlignment="1" applyProtection="1">
      <alignment horizontal="center" vertical="center" wrapText="1"/>
      <protection/>
    </xf>
    <xf numFmtId="0" fontId="41" fillId="0" borderId="16" xfId="0" applyNumberFormat="1" applyFont="1" applyFill="1" applyBorder="1" applyAlignment="1" applyProtection="1">
      <alignment horizontal="center" vertical="center" wrapText="1"/>
      <protection/>
    </xf>
    <xf numFmtId="0" fontId="46" fillId="0" borderId="16" xfId="0" applyNumberFormat="1" applyFont="1" applyFill="1" applyBorder="1" applyAlignment="1" applyProtection="1">
      <alignment horizontal="center" vertical="center" wrapText="1"/>
      <protection/>
    </xf>
    <xf numFmtId="0" fontId="46" fillId="0" borderId="17" xfId="0" applyNumberFormat="1" applyFont="1" applyFill="1" applyBorder="1" applyAlignment="1" applyProtection="1">
      <alignment horizontal="center" vertical="center" wrapText="1"/>
      <protection/>
    </xf>
    <xf numFmtId="0" fontId="46" fillId="0" borderId="41" xfId="0" applyNumberFormat="1" applyFont="1" applyFill="1" applyBorder="1" applyAlignment="1" applyProtection="1">
      <alignment horizontal="center" vertical="center" wrapText="1"/>
      <protection/>
    </xf>
    <xf numFmtId="0" fontId="46" fillId="0" borderId="19" xfId="0" applyNumberFormat="1" applyFont="1" applyFill="1" applyBorder="1" applyAlignment="1" applyProtection="1">
      <alignment horizontal="center" vertical="center" wrapText="1"/>
      <protection/>
    </xf>
    <xf numFmtId="0" fontId="46" fillId="0" borderId="26" xfId="0" applyNumberFormat="1" applyFont="1" applyFill="1" applyBorder="1" applyAlignment="1" applyProtection="1">
      <alignment horizontal="center" vertical="center" wrapText="1"/>
      <protection/>
    </xf>
    <xf numFmtId="0" fontId="46" fillId="0" borderId="42" xfId="0" applyNumberFormat="1" applyFont="1" applyFill="1" applyBorder="1" applyAlignment="1" applyProtection="1">
      <alignment horizontal="center" vertical="center" wrapText="1"/>
      <protection/>
    </xf>
    <xf numFmtId="0" fontId="46" fillId="0" borderId="25" xfId="0" applyNumberFormat="1" applyFont="1" applyFill="1" applyBorder="1" applyAlignment="1" applyProtection="1">
      <alignment horizontal="center" vertical="center" wrapText="1"/>
      <protection/>
    </xf>
    <xf numFmtId="0" fontId="46" fillId="0" borderId="43" xfId="0" applyNumberFormat="1" applyFont="1" applyFill="1" applyBorder="1" applyAlignment="1" applyProtection="1">
      <alignment horizontal="center" vertical="center" wrapText="1"/>
      <protection/>
    </xf>
    <xf numFmtId="0" fontId="46" fillId="0" borderId="16" xfId="0" applyFont="1" applyFill="1" applyBorder="1" applyAlignment="1">
      <alignment horizontal="center" vertical="center"/>
    </xf>
    <xf numFmtId="0" fontId="47" fillId="0" borderId="16" xfId="0" applyNumberFormat="1" applyFont="1" applyFill="1" applyBorder="1" applyAlignment="1" applyProtection="1">
      <alignment horizontal="center" vertical="center" wrapText="1"/>
      <protection/>
    </xf>
    <xf numFmtId="0" fontId="81" fillId="41" borderId="0" xfId="0" applyFont="1" applyFill="1" applyAlignment="1">
      <alignment horizontal="right" vertical="center" wrapText="1"/>
    </xf>
    <xf numFmtId="0" fontId="59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2" fillId="41" borderId="0" xfId="0" applyNumberFormat="1" applyFont="1" applyFill="1" applyBorder="1" applyAlignment="1" applyProtection="1">
      <alignment horizontal="center" vertical="center" wrapText="1"/>
      <protection/>
    </xf>
    <xf numFmtId="0" fontId="35" fillId="41" borderId="0" xfId="0" applyNumberFormat="1" applyFont="1" applyFill="1" applyAlignment="1" applyProtection="1">
      <alignment horizontal="left" vertical="center" wrapText="1"/>
      <protection/>
    </xf>
    <xf numFmtId="49" fontId="49" fillId="41" borderId="0" xfId="0" applyNumberFormat="1" applyFont="1" applyFill="1" applyBorder="1" applyAlignment="1" applyProtection="1">
      <alignment horizontal="left" vertical="center" wrapText="1"/>
      <protection/>
    </xf>
    <xf numFmtId="1" fontId="2" fillId="41" borderId="25" xfId="0" applyNumberFormat="1" applyFont="1" applyFill="1" applyBorder="1" applyAlignment="1">
      <alignment horizontal="center" vertical="center" wrapText="1"/>
    </xf>
    <xf numFmtId="1" fontId="2" fillId="41" borderId="34" xfId="0" applyNumberFormat="1" applyFont="1" applyFill="1" applyBorder="1" applyAlignment="1">
      <alignment horizontal="center" vertical="center" wrapText="1"/>
    </xf>
    <xf numFmtId="1" fontId="2" fillId="41" borderId="43" xfId="0" applyNumberFormat="1" applyFont="1" applyFill="1" applyBorder="1" applyAlignment="1">
      <alignment horizontal="center" vertical="center" wrapText="1"/>
    </xf>
    <xf numFmtId="194" fontId="6" fillId="41" borderId="17" xfId="0" applyNumberFormat="1" applyFont="1" applyFill="1" applyBorder="1" applyAlignment="1">
      <alignment horizontal="left" vertical="center" wrapText="1"/>
    </xf>
    <xf numFmtId="194" fontId="6" fillId="41" borderId="41" xfId="0" applyNumberFormat="1" applyFont="1" applyFill="1" applyBorder="1" applyAlignment="1">
      <alignment horizontal="left" vertical="center" wrapText="1"/>
    </xf>
    <xf numFmtId="194" fontId="6" fillId="41" borderId="19" xfId="0" applyNumberFormat="1" applyFont="1" applyFill="1" applyBorder="1" applyAlignment="1">
      <alignment horizontal="left" vertical="center" wrapText="1"/>
    </xf>
    <xf numFmtId="3" fontId="6" fillId="41" borderId="17" xfId="0" applyNumberFormat="1" applyFont="1" applyFill="1" applyBorder="1" applyAlignment="1">
      <alignment horizontal="left" vertical="center" wrapText="1"/>
    </xf>
    <xf numFmtId="3" fontId="6" fillId="41" borderId="41" xfId="0" applyNumberFormat="1" applyFont="1" applyFill="1" applyBorder="1" applyAlignment="1">
      <alignment horizontal="left" vertical="center" wrapText="1"/>
    </xf>
    <xf numFmtId="3" fontId="6" fillId="41" borderId="19" xfId="0" applyNumberFormat="1" applyFont="1" applyFill="1" applyBorder="1" applyAlignment="1">
      <alignment horizontal="left" vertical="center" wrapText="1"/>
    </xf>
    <xf numFmtId="49" fontId="6" fillId="41" borderId="16" xfId="0" applyNumberFormat="1" applyFont="1" applyFill="1" applyBorder="1" applyAlignment="1">
      <alignment horizontal="center" vertical="center"/>
    </xf>
    <xf numFmtId="0" fontId="0" fillId="41" borderId="16" xfId="0" applyFont="1" applyFill="1" applyBorder="1" applyAlignment="1">
      <alignment horizontal="center" vertical="center"/>
    </xf>
    <xf numFmtId="0" fontId="6" fillId="41" borderId="0" xfId="0" applyNumberFormat="1" applyFont="1" applyFill="1" applyAlignment="1" applyProtection="1">
      <alignment horizontal="center" vertical="center"/>
      <protection/>
    </xf>
    <xf numFmtId="0" fontId="4" fillId="41" borderId="16" xfId="0" applyNumberFormat="1" applyFont="1" applyFill="1" applyBorder="1" applyAlignment="1" applyProtection="1">
      <alignment horizontal="center" vertical="center" wrapText="1"/>
      <protection/>
    </xf>
    <xf numFmtId="49" fontId="53" fillId="41" borderId="0" xfId="0" applyNumberFormat="1" applyFont="1" applyFill="1" applyBorder="1" applyAlignment="1" applyProtection="1">
      <alignment horizontal="left" vertical="center" wrapText="1"/>
      <protection/>
    </xf>
    <xf numFmtId="0" fontId="6" fillId="41" borderId="16" xfId="0" applyFont="1" applyFill="1" applyBorder="1" applyAlignment="1">
      <alignment horizontal="left" vertical="center" wrapText="1"/>
    </xf>
    <xf numFmtId="194" fontId="6" fillId="41" borderId="16" xfId="0" applyNumberFormat="1" applyFont="1" applyFill="1" applyBorder="1" applyAlignment="1">
      <alignment horizontal="left" vertical="center" wrapText="1"/>
    </xf>
    <xf numFmtId="0" fontId="0" fillId="41" borderId="16" xfId="0" applyFont="1" applyFill="1" applyBorder="1" applyAlignment="1">
      <alignment horizontal="left" vertical="center" wrapText="1"/>
    </xf>
    <xf numFmtId="49" fontId="6" fillId="41" borderId="16" xfId="0" applyNumberFormat="1" applyFont="1" applyFill="1" applyBorder="1" applyAlignment="1">
      <alignment horizontal="center" vertical="center" wrapText="1"/>
    </xf>
    <xf numFmtId="0" fontId="0" fillId="41" borderId="16" xfId="0" applyFont="1" applyFill="1" applyBorder="1" applyAlignment="1">
      <alignment horizontal="center" vertical="center" wrapText="1"/>
    </xf>
    <xf numFmtId="49" fontId="6" fillId="41" borderId="17" xfId="0" applyNumberFormat="1" applyFont="1" applyFill="1" applyBorder="1" applyAlignment="1">
      <alignment horizontal="center" vertical="center"/>
    </xf>
    <xf numFmtId="49" fontId="6" fillId="41" borderId="19" xfId="0" applyNumberFormat="1" applyFont="1" applyFill="1" applyBorder="1" applyAlignment="1">
      <alignment horizontal="center" vertical="center"/>
    </xf>
    <xf numFmtId="49" fontId="6" fillId="41" borderId="17" xfId="0" applyNumberFormat="1" applyFont="1" applyFill="1" applyBorder="1" applyAlignment="1">
      <alignment horizontal="center" vertical="center" wrapText="1"/>
    </xf>
    <xf numFmtId="49" fontId="6" fillId="41" borderId="19" xfId="0" applyNumberFormat="1" applyFont="1" applyFill="1" applyBorder="1" applyAlignment="1">
      <alignment horizontal="center" vertical="center" wrapText="1"/>
    </xf>
    <xf numFmtId="0" fontId="6" fillId="41" borderId="17" xfId="0" applyNumberFormat="1" applyFont="1" applyFill="1" applyBorder="1" applyAlignment="1" applyProtection="1">
      <alignment horizontal="left" vertical="center" wrapText="1"/>
      <protection/>
    </xf>
    <xf numFmtId="0" fontId="6" fillId="41" borderId="19" xfId="0" applyNumberFormat="1" applyFont="1" applyFill="1" applyBorder="1" applyAlignment="1" applyProtection="1">
      <alignment horizontal="left" vertical="center" wrapText="1"/>
      <protection/>
    </xf>
    <xf numFmtId="194" fontId="6" fillId="41" borderId="16" xfId="0" applyNumberFormat="1" applyFont="1" applyFill="1" applyBorder="1" applyAlignment="1" applyProtection="1">
      <alignment horizontal="left" vertical="center" wrapText="1"/>
      <protection/>
    </xf>
    <xf numFmtId="3" fontId="6" fillId="41" borderId="16" xfId="76" applyNumberFormat="1" applyFont="1" applyFill="1" applyBorder="1" applyAlignment="1">
      <alignment horizontal="left" vertical="center" wrapText="1"/>
      <protection/>
    </xf>
    <xf numFmtId="0" fontId="6" fillId="41" borderId="17" xfId="91" applyFont="1" applyFill="1" applyBorder="1" applyAlignment="1">
      <alignment horizontal="left" vertical="center" wrapText="1"/>
      <protection/>
    </xf>
    <xf numFmtId="0" fontId="6" fillId="41" borderId="19" xfId="91" applyFont="1" applyFill="1" applyBorder="1" applyAlignment="1">
      <alignment horizontal="left" vertical="center" wrapText="1"/>
      <protection/>
    </xf>
    <xf numFmtId="3" fontId="6" fillId="41" borderId="17" xfId="76" applyNumberFormat="1" applyFont="1" applyFill="1" applyBorder="1" applyAlignment="1">
      <alignment horizontal="left" vertical="center" wrapText="1"/>
      <protection/>
    </xf>
    <xf numFmtId="3" fontId="6" fillId="41" borderId="19" xfId="76" applyNumberFormat="1" applyFont="1" applyFill="1" applyBorder="1" applyAlignment="1">
      <alignment horizontal="left" vertical="center" wrapText="1"/>
      <protection/>
    </xf>
    <xf numFmtId="194" fontId="6" fillId="41" borderId="16" xfId="76" applyNumberFormat="1" applyFont="1" applyFill="1" applyBorder="1" applyAlignment="1">
      <alignment horizontal="left" vertical="center" wrapText="1"/>
      <protection/>
    </xf>
    <xf numFmtId="3" fontId="6" fillId="41" borderId="16" xfId="91" applyNumberFormat="1" applyFont="1" applyFill="1" applyBorder="1" applyAlignment="1">
      <alignment horizontal="left" vertical="center" wrapText="1"/>
      <protection/>
    </xf>
    <xf numFmtId="49" fontId="6" fillId="41" borderId="41" xfId="0" applyNumberFormat="1" applyFont="1" applyFill="1" applyBorder="1" applyAlignment="1">
      <alignment horizontal="center" vertical="center"/>
    </xf>
    <xf numFmtId="49" fontId="6" fillId="41" borderId="17" xfId="0" applyNumberFormat="1" applyFont="1" applyFill="1" applyBorder="1" applyAlignment="1" applyProtection="1">
      <alignment horizontal="center" vertical="center" wrapText="1"/>
      <protection/>
    </xf>
    <xf numFmtId="49" fontId="6" fillId="41" borderId="41" xfId="0" applyNumberFormat="1" applyFont="1" applyFill="1" applyBorder="1" applyAlignment="1" applyProtection="1">
      <alignment horizontal="center" vertical="center" wrapText="1"/>
      <protection/>
    </xf>
    <xf numFmtId="194" fontId="6" fillId="41" borderId="17" xfId="0" applyNumberFormat="1" applyFont="1" applyFill="1" applyBorder="1" applyAlignment="1" applyProtection="1">
      <alignment horizontal="left" vertical="center" wrapText="1"/>
      <protection/>
    </xf>
    <xf numFmtId="194" fontId="6" fillId="41" borderId="41" xfId="0" applyNumberFormat="1" applyFont="1" applyFill="1" applyBorder="1" applyAlignment="1" applyProtection="1">
      <alignment horizontal="left" vertical="center" wrapText="1"/>
      <protection/>
    </xf>
    <xf numFmtId="194" fontId="6" fillId="41" borderId="19" xfId="0" applyNumberFormat="1" applyFont="1" applyFill="1" applyBorder="1" applyAlignment="1" applyProtection="1">
      <alignment horizontal="left" vertical="center" wrapText="1"/>
      <protection/>
    </xf>
    <xf numFmtId="194" fontId="6" fillId="41" borderId="17" xfId="76" applyNumberFormat="1" applyFont="1" applyFill="1" applyBorder="1" applyAlignment="1">
      <alignment horizontal="left" vertical="center" wrapText="1"/>
      <protection/>
    </xf>
    <xf numFmtId="194" fontId="6" fillId="41" borderId="41" xfId="76" applyNumberFormat="1" applyFont="1" applyFill="1" applyBorder="1" applyAlignment="1">
      <alignment horizontal="left" vertical="center" wrapText="1"/>
      <protection/>
    </xf>
    <xf numFmtId="194" fontId="6" fillId="41" borderId="19" xfId="76" applyNumberFormat="1" applyFont="1" applyFill="1" applyBorder="1" applyAlignment="1">
      <alignment horizontal="left" vertical="center" wrapText="1"/>
      <protection/>
    </xf>
    <xf numFmtId="0" fontId="6" fillId="41" borderId="17" xfId="76" applyNumberFormat="1" applyFont="1" applyFill="1" applyBorder="1" applyAlignment="1">
      <alignment horizontal="left" vertical="center" wrapText="1"/>
      <protection/>
    </xf>
    <xf numFmtId="0" fontId="6" fillId="41" borderId="41" xfId="76" applyNumberFormat="1" applyFont="1" applyFill="1" applyBorder="1" applyAlignment="1">
      <alignment horizontal="left" vertical="center" wrapText="1"/>
      <protection/>
    </xf>
    <xf numFmtId="0" fontId="6" fillId="41" borderId="19" xfId="76" applyNumberFormat="1" applyFont="1" applyFill="1" applyBorder="1" applyAlignment="1">
      <alignment horizontal="left" vertical="center" wrapText="1"/>
      <protection/>
    </xf>
    <xf numFmtId="49" fontId="6" fillId="41" borderId="16" xfId="97" applyNumberFormat="1" applyFont="1" applyFill="1" applyBorder="1" applyAlignment="1">
      <alignment horizontal="center" vertical="center"/>
      <protection/>
    </xf>
    <xf numFmtId="0" fontId="6" fillId="41" borderId="16" xfId="76" applyNumberFormat="1" applyFont="1" applyFill="1" applyBorder="1" applyAlignment="1">
      <alignment horizontal="left" vertical="center" wrapText="1"/>
      <protection/>
    </xf>
    <xf numFmtId="49" fontId="49" fillId="40" borderId="0" xfId="0" applyNumberFormat="1" applyFont="1" applyFill="1" applyBorder="1" applyAlignment="1" applyProtection="1">
      <alignment horizontal="center" vertical="center" wrapText="1"/>
      <protection/>
    </xf>
    <xf numFmtId="0" fontId="35" fillId="40" borderId="0" xfId="0" applyNumberFormat="1" applyFont="1" applyFill="1" applyBorder="1" applyAlignment="1" applyProtection="1">
      <alignment horizontal="center" vertical="center" wrapText="1"/>
      <protection/>
    </xf>
    <xf numFmtId="0" fontId="6" fillId="40" borderId="0" xfId="0" applyNumberFormat="1" applyFont="1" applyFill="1" applyBorder="1" applyAlignment="1" applyProtection="1">
      <alignment horizontal="center" vertical="center" wrapText="1"/>
      <protection/>
    </xf>
    <xf numFmtId="0" fontId="13" fillId="40" borderId="0" xfId="0" applyNumberFormat="1" applyFont="1" applyFill="1" applyAlignment="1" applyProtection="1">
      <alignment horizontal="center" vertical="center" wrapText="1"/>
      <protection/>
    </xf>
    <xf numFmtId="0" fontId="6" fillId="0" borderId="16" xfId="0" applyFont="1" applyBorder="1" applyAlignment="1">
      <alignment horizontal="center" vertical="center" wrapText="1"/>
    </xf>
    <xf numFmtId="2" fontId="6" fillId="40" borderId="16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left" vertical="center" wrapText="1"/>
      <protection/>
    </xf>
  </cellXfs>
  <cellStyles count="103">
    <cellStyle name="Normal" xfId="0"/>
    <cellStyle name="20% - Акцент1 2" xfId="15"/>
    <cellStyle name="20% - Акцент2 2" xfId="16"/>
    <cellStyle name="20% - Акцент3 2" xfId="17"/>
    <cellStyle name="20% - Акцент4 2" xfId="18"/>
    <cellStyle name="20% - Акцент5 2" xfId="19"/>
    <cellStyle name="20% - Акцент6 2" xfId="20"/>
    <cellStyle name="20% – колірна тема 1" xfId="21"/>
    <cellStyle name="20% – колірна тема 2" xfId="22"/>
    <cellStyle name="20% – колірна тема 3" xfId="23"/>
    <cellStyle name="20% – колірна тема 4" xfId="24"/>
    <cellStyle name="20% – колірна тема 5" xfId="25"/>
    <cellStyle name="20% – колірна тема 6" xfId="26"/>
    <cellStyle name="40% - Акцент1 2" xfId="27"/>
    <cellStyle name="40% - Акцент2 2" xfId="28"/>
    <cellStyle name="40% - Акцент3 2" xfId="29"/>
    <cellStyle name="40% - Акцент4 2" xfId="30"/>
    <cellStyle name="40% - Акцент5 2" xfId="31"/>
    <cellStyle name="40% - Акцент6 2" xfId="32"/>
    <cellStyle name="40% – колірна тема 1" xfId="33"/>
    <cellStyle name="40% – колірна тема 2" xfId="34"/>
    <cellStyle name="40% – колірна тема 3" xfId="35"/>
    <cellStyle name="40% – колірна тема 4" xfId="36"/>
    <cellStyle name="40% – колірна тема 5" xfId="37"/>
    <cellStyle name="40% – колірна тема 6" xfId="38"/>
    <cellStyle name="60% - Акцент1 2" xfId="39"/>
    <cellStyle name="60% - Акцент2 2" xfId="40"/>
    <cellStyle name="60% - Акцент3 2" xfId="41"/>
    <cellStyle name="60% - Акцент4 2" xfId="42"/>
    <cellStyle name="60% - Акцент5 2" xfId="43"/>
    <cellStyle name="60% - Акцент6 2" xfId="44"/>
    <cellStyle name="60% – колірна тема 1" xfId="45"/>
    <cellStyle name="60% – колірна тема 2" xfId="46"/>
    <cellStyle name="60% – колірна тема 3" xfId="47"/>
    <cellStyle name="60% – колірна тема 4" xfId="48"/>
    <cellStyle name="60% – колірна тема 5" xfId="49"/>
    <cellStyle name="60% – колірна тема 6" xfId="50"/>
    <cellStyle name="Normal_Доходи" xfId="51"/>
    <cellStyle name="Акцент1 2" xfId="52"/>
    <cellStyle name="Акцент2 2" xfId="53"/>
    <cellStyle name="Акцент3 2" xfId="54"/>
    <cellStyle name="Акцент4 2" xfId="55"/>
    <cellStyle name="Акцент5 2" xfId="56"/>
    <cellStyle name="Акцент6 2" xfId="57"/>
    <cellStyle name="Ввід" xfId="58"/>
    <cellStyle name="Ввод  2" xfId="59"/>
    <cellStyle name="Percent" xfId="60"/>
    <cellStyle name="Відсотковий 2" xfId="61"/>
    <cellStyle name="Вывод 2" xfId="62"/>
    <cellStyle name="Вычисление 2" xfId="63"/>
    <cellStyle name="Гарний" xfId="64"/>
    <cellStyle name="Hyperlink" xfId="65"/>
    <cellStyle name="Currency" xfId="66"/>
    <cellStyle name="Currency [0]" xfId="67"/>
    <cellStyle name="Заголовок 1" xfId="68"/>
    <cellStyle name="Заголовок 2" xfId="69"/>
    <cellStyle name="Заголовок 2 2" xfId="70"/>
    <cellStyle name="Заголовок 3" xfId="71"/>
    <cellStyle name="Заголовок 4" xfId="72"/>
    <cellStyle name="Звичайний 2" xfId="73"/>
    <cellStyle name="Звичайний 2 2" xfId="74"/>
    <cellStyle name="Звичайний 2 3" xfId="75"/>
    <cellStyle name="Звичайний_Додаток _ 3 зм_ни 4575" xfId="76"/>
    <cellStyle name="Зв'язана клітинка" xfId="77"/>
    <cellStyle name="Итог 2" xfId="78"/>
    <cellStyle name="Колірна тема 1" xfId="79"/>
    <cellStyle name="Колірна тема 2" xfId="80"/>
    <cellStyle name="Колірна тема 3" xfId="81"/>
    <cellStyle name="Колірна тема 4" xfId="82"/>
    <cellStyle name="Колірна тема 5" xfId="83"/>
    <cellStyle name="Колірна тема 6" xfId="84"/>
    <cellStyle name="Контрольна клітинка" xfId="85"/>
    <cellStyle name="Контрольная ячейка 2" xfId="86"/>
    <cellStyle name="Назва" xfId="87"/>
    <cellStyle name="Нейтральний" xfId="88"/>
    <cellStyle name="Нейтральный 2" xfId="89"/>
    <cellStyle name="Обчислення" xfId="90"/>
    <cellStyle name="Обычный 2" xfId="91"/>
    <cellStyle name="Обычный 2 2" xfId="92"/>
    <cellStyle name="Обычный 2 3" xfId="93"/>
    <cellStyle name="Обычный 3" xfId="94"/>
    <cellStyle name="Обычный 4" xfId="95"/>
    <cellStyle name="Обычный_ZV1PIV98" xfId="96"/>
    <cellStyle name="Обычный_дод на комісію про затверд бюд 2004" xfId="97"/>
    <cellStyle name="Обычный_дод на комісію про затверд бюд 2004_Dod 4." xfId="98"/>
    <cellStyle name="Обычный_Додатки 2004" xfId="99"/>
    <cellStyle name="Обычный_ОБЛАСТІ 2002 РІЙОНИ 2002" xfId="100"/>
    <cellStyle name="Followed Hyperlink" xfId="101"/>
    <cellStyle name="Підсумок" xfId="102"/>
    <cellStyle name="Плохой 2" xfId="103"/>
    <cellStyle name="Поганий" xfId="104"/>
    <cellStyle name="Пояснение 2" xfId="105"/>
    <cellStyle name="Примечание 2" xfId="106"/>
    <cellStyle name="Примітка" xfId="107"/>
    <cellStyle name="Результат" xfId="108"/>
    <cellStyle name="Связанная ячейка 2" xfId="109"/>
    <cellStyle name="Текст попередження" xfId="110"/>
    <cellStyle name="Текст пояснення" xfId="111"/>
    <cellStyle name="Текст предупреждения 2" xfId="112"/>
    <cellStyle name="Comma" xfId="113"/>
    <cellStyle name="Comma [0]" xfId="114"/>
    <cellStyle name="Фінансовий 2" xfId="115"/>
    <cellStyle name="Хороший 2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6"/>
  <sheetViews>
    <sheetView tabSelected="1" view="pageBreakPreview" zoomScaleSheetLayoutView="100" zoomScalePageLayoutView="0" workbookViewId="0" topLeftCell="A1">
      <selection activeCell="A5" sqref="A5:F5"/>
    </sheetView>
  </sheetViews>
  <sheetFormatPr defaultColWidth="9.00390625" defaultRowHeight="12.75"/>
  <cols>
    <col min="1" max="1" width="13.00390625" style="290" customWidth="1"/>
    <col min="2" max="2" width="76.125" style="50" customWidth="1"/>
    <col min="3" max="3" width="20.875" style="9" bestFit="1" customWidth="1"/>
    <col min="4" max="4" width="21.00390625" style="19" customWidth="1"/>
    <col min="5" max="5" width="18.25390625" style="9" customWidth="1"/>
    <col min="6" max="6" width="19.875" style="9" customWidth="1"/>
    <col min="7" max="8" width="9.125" style="9" customWidth="1"/>
    <col min="9" max="9" width="16.125" style="9" customWidth="1"/>
    <col min="10" max="17" width="9.125" style="9" customWidth="1"/>
    <col min="18" max="16384" width="9.125" style="1" customWidth="1"/>
  </cols>
  <sheetData>
    <row r="1" spans="1:17" s="26" customFormat="1" ht="100.5" customHeight="1">
      <c r="A1" s="263"/>
      <c r="B1" s="58"/>
      <c r="C1" s="611" t="s">
        <v>592</v>
      </c>
      <c r="D1" s="611"/>
      <c r="E1" s="611"/>
      <c r="F1" s="611"/>
      <c r="G1" s="51"/>
      <c r="H1" s="51"/>
      <c r="I1" s="52"/>
      <c r="J1" s="288"/>
      <c r="K1" s="288"/>
      <c r="L1" s="288"/>
      <c r="M1" s="288"/>
      <c r="N1" s="288"/>
      <c r="O1" s="288"/>
      <c r="P1" s="288"/>
      <c r="Q1" s="288"/>
    </row>
    <row r="2" spans="1:17" s="26" customFormat="1" ht="18.75" customHeight="1">
      <c r="A2" s="263"/>
      <c r="B2" s="58"/>
      <c r="C2" s="117" t="s">
        <v>330</v>
      </c>
      <c r="D2" s="262"/>
      <c r="E2" s="262"/>
      <c r="F2" s="262"/>
      <c r="G2" s="51"/>
      <c r="H2" s="51"/>
      <c r="I2" s="52"/>
      <c r="J2" s="288"/>
      <c r="K2" s="288"/>
      <c r="L2" s="288"/>
      <c r="M2" s="288"/>
      <c r="N2" s="288"/>
      <c r="O2" s="288"/>
      <c r="P2" s="288"/>
      <c r="Q2" s="288"/>
    </row>
    <row r="3" spans="1:17" s="26" customFormat="1" ht="27.75" customHeight="1">
      <c r="A3" s="612" t="s">
        <v>385</v>
      </c>
      <c r="B3" s="613"/>
      <c r="C3" s="613"/>
      <c r="D3" s="613"/>
      <c r="E3" s="613"/>
      <c r="F3" s="613"/>
      <c r="G3" s="51"/>
      <c r="H3" s="51"/>
      <c r="I3" s="52"/>
      <c r="J3" s="288"/>
      <c r="K3" s="288"/>
      <c r="L3" s="288"/>
      <c r="M3" s="288"/>
      <c r="N3" s="288"/>
      <c r="O3" s="288"/>
      <c r="P3" s="288"/>
      <c r="Q3" s="288"/>
    </row>
    <row r="4" spans="1:17" s="158" customFormat="1" ht="24.75" customHeight="1">
      <c r="A4" s="614" t="s">
        <v>509</v>
      </c>
      <c r="B4" s="614"/>
      <c r="C4" s="614"/>
      <c r="D4" s="614"/>
      <c r="E4" s="614"/>
      <c r="F4" s="614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5" spans="1:17" s="159" customFormat="1" ht="24.75" customHeight="1">
      <c r="A5" s="615" t="s">
        <v>386</v>
      </c>
      <c r="B5" s="615"/>
      <c r="C5" s="615"/>
      <c r="D5" s="615"/>
      <c r="E5" s="615"/>
      <c r="F5" s="615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</row>
    <row r="6" spans="1:17" s="26" customFormat="1" ht="24.75" customHeight="1">
      <c r="A6" s="616" t="s">
        <v>331</v>
      </c>
      <c r="B6" s="616"/>
      <c r="C6" s="616"/>
      <c r="D6" s="616"/>
      <c r="E6" s="616"/>
      <c r="F6" s="616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2:17" s="26" customFormat="1" ht="24.75" customHeight="1">
      <c r="B7" s="50"/>
      <c r="D7" s="19"/>
      <c r="E7" s="9"/>
      <c r="F7" s="290" t="s">
        <v>387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s="53" customFormat="1" ht="24.75" customHeight="1">
      <c r="A8" s="607" t="s">
        <v>73</v>
      </c>
      <c r="B8" s="606" t="s">
        <v>303</v>
      </c>
      <c r="C8" s="607" t="s">
        <v>284</v>
      </c>
      <c r="D8" s="608" t="s">
        <v>97</v>
      </c>
      <c r="E8" s="607" t="s">
        <v>75</v>
      </c>
      <c r="F8" s="607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7" s="53" customFormat="1" ht="50.25" customHeight="1">
      <c r="A9" s="607"/>
      <c r="B9" s="606"/>
      <c r="C9" s="607"/>
      <c r="D9" s="609"/>
      <c r="E9" s="264" t="s">
        <v>285</v>
      </c>
      <c r="F9" s="33" t="s">
        <v>289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s="53" customFormat="1" ht="18.75" customHeight="1">
      <c r="A10" s="264">
        <v>1</v>
      </c>
      <c r="B10" s="33">
        <v>2</v>
      </c>
      <c r="C10" s="264">
        <v>3</v>
      </c>
      <c r="D10" s="291">
        <v>4</v>
      </c>
      <c r="E10" s="264">
        <v>5</v>
      </c>
      <c r="F10" s="33">
        <v>6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6" s="13" customFormat="1" ht="24.75" customHeight="1">
      <c r="A11" s="292">
        <v>10000000</v>
      </c>
      <c r="B11" s="27" t="s">
        <v>98</v>
      </c>
      <c r="C11" s="293">
        <f aca="true" t="shared" si="0" ref="C11:C80">D11+E11</f>
        <v>711921000</v>
      </c>
      <c r="D11" s="294">
        <f>D12+D26+D32+D51+D21</f>
        <v>711761400</v>
      </c>
      <c r="E11" s="294">
        <f>E12+E26+E32+E51</f>
        <v>159600</v>
      </c>
      <c r="F11" s="294"/>
    </row>
    <row r="12" spans="1:6" s="13" customFormat="1" ht="34.5" customHeight="1">
      <c r="A12" s="292">
        <v>11000000</v>
      </c>
      <c r="B12" s="22" t="s">
        <v>99</v>
      </c>
      <c r="C12" s="293">
        <f t="shared" si="0"/>
        <v>477852300</v>
      </c>
      <c r="D12" s="294">
        <f>D13+D19</f>
        <v>477852300</v>
      </c>
      <c r="E12" s="294">
        <f>E13+E19</f>
        <v>0</v>
      </c>
      <c r="F12" s="294"/>
    </row>
    <row r="13" spans="1:6" s="13" customFormat="1" ht="26.25" customHeight="1">
      <c r="A13" s="292">
        <v>11010000</v>
      </c>
      <c r="B13" s="22" t="s">
        <v>100</v>
      </c>
      <c r="C13" s="293">
        <f t="shared" si="0"/>
        <v>476153400</v>
      </c>
      <c r="D13" s="294">
        <f>SUM(D14:D18)</f>
        <v>476153400</v>
      </c>
      <c r="E13" s="294"/>
      <c r="F13" s="294"/>
    </row>
    <row r="14" spans="1:6" s="9" customFormat="1" ht="34.5" customHeight="1">
      <c r="A14" s="295">
        <v>11010100</v>
      </c>
      <c r="B14" s="20" t="s">
        <v>101</v>
      </c>
      <c r="C14" s="296">
        <f t="shared" si="0"/>
        <v>384896600</v>
      </c>
      <c r="D14" s="296">
        <v>384896600</v>
      </c>
      <c r="E14" s="296"/>
      <c r="F14" s="296"/>
    </row>
    <row r="15" spans="1:6" s="9" customFormat="1" ht="53.25" customHeight="1">
      <c r="A15" s="295">
        <v>11010200</v>
      </c>
      <c r="B15" s="20" t="s">
        <v>102</v>
      </c>
      <c r="C15" s="296">
        <f t="shared" si="0"/>
        <v>81676800</v>
      </c>
      <c r="D15" s="297">
        <v>81676800</v>
      </c>
      <c r="E15" s="296"/>
      <c r="F15" s="296"/>
    </row>
    <row r="16" spans="1:6" s="9" customFormat="1" ht="36.75" customHeight="1">
      <c r="A16" s="295">
        <v>11010400</v>
      </c>
      <c r="B16" s="20" t="s">
        <v>103</v>
      </c>
      <c r="C16" s="296">
        <f t="shared" si="0"/>
        <v>4180000</v>
      </c>
      <c r="D16" s="296">
        <v>4180000</v>
      </c>
      <c r="E16" s="296"/>
      <c r="F16" s="296"/>
    </row>
    <row r="17" spans="1:6" s="9" customFormat="1" ht="33.75" customHeight="1">
      <c r="A17" s="295">
        <v>11010500</v>
      </c>
      <c r="B17" s="20" t="s">
        <v>104</v>
      </c>
      <c r="C17" s="296">
        <f t="shared" si="0"/>
        <v>5400000</v>
      </c>
      <c r="D17" s="296">
        <v>5400000</v>
      </c>
      <c r="E17" s="296"/>
      <c r="F17" s="296"/>
    </row>
    <row r="18" spans="1:6" s="9" customFormat="1" ht="51" customHeight="1" hidden="1">
      <c r="A18" s="268">
        <v>11010900</v>
      </c>
      <c r="B18" s="20" t="s">
        <v>105</v>
      </c>
      <c r="C18" s="296">
        <f t="shared" si="0"/>
        <v>0</v>
      </c>
      <c r="D18" s="296"/>
      <c r="E18" s="296"/>
      <c r="F18" s="296"/>
    </row>
    <row r="19" spans="1:6" s="13" customFormat="1" ht="19.5" customHeight="1">
      <c r="A19" s="292">
        <v>11020000</v>
      </c>
      <c r="B19" s="22" t="s">
        <v>106</v>
      </c>
      <c r="C19" s="293">
        <f t="shared" si="0"/>
        <v>1698900</v>
      </c>
      <c r="D19" s="294">
        <f>D20</f>
        <v>1698900</v>
      </c>
      <c r="E19" s="293"/>
      <c r="F19" s="293"/>
    </row>
    <row r="20" spans="1:6" s="9" customFormat="1" ht="33.75" customHeight="1">
      <c r="A20" s="295">
        <v>11020200</v>
      </c>
      <c r="B20" s="54" t="s">
        <v>107</v>
      </c>
      <c r="C20" s="296">
        <f t="shared" si="0"/>
        <v>1698900</v>
      </c>
      <c r="D20" s="298">
        <v>1698900</v>
      </c>
      <c r="E20" s="296"/>
      <c r="F20" s="296"/>
    </row>
    <row r="21" spans="1:6" s="13" customFormat="1" ht="33.75" customHeight="1">
      <c r="A21" s="299">
        <v>13000000</v>
      </c>
      <c r="B21" s="160" t="s">
        <v>388</v>
      </c>
      <c r="C21" s="293">
        <f t="shared" si="0"/>
        <v>727100</v>
      </c>
      <c r="D21" s="294">
        <f>D22+D24</f>
        <v>727100</v>
      </c>
      <c r="E21" s="293"/>
      <c r="F21" s="293"/>
    </row>
    <row r="22" spans="1:6" s="13" customFormat="1" ht="33.75" customHeight="1">
      <c r="A22" s="271">
        <v>13010000</v>
      </c>
      <c r="B22" s="270" t="s">
        <v>389</v>
      </c>
      <c r="C22" s="293">
        <f t="shared" si="0"/>
        <v>701900</v>
      </c>
      <c r="D22" s="294">
        <f>D23</f>
        <v>701900</v>
      </c>
      <c r="E22" s="293"/>
      <c r="F22" s="293"/>
    </row>
    <row r="23" spans="1:6" s="9" customFormat="1" ht="48.75" customHeight="1">
      <c r="A23" s="300">
        <v>13010200</v>
      </c>
      <c r="B23" s="161" t="s">
        <v>390</v>
      </c>
      <c r="C23" s="296">
        <f t="shared" si="0"/>
        <v>701900</v>
      </c>
      <c r="D23" s="298">
        <v>701900</v>
      </c>
      <c r="E23" s="296"/>
      <c r="F23" s="296"/>
    </row>
    <row r="24" spans="1:6" s="13" customFormat="1" ht="33.75" customHeight="1">
      <c r="A24" s="271">
        <v>13030000</v>
      </c>
      <c r="B24" s="270" t="s">
        <v>391</v>
      </c>
      <c r="C24" s="293">
        <f t="shared" si="0"/>
        <v>25200</v>
      </c>
      <c r="D24" s="294">
        <f>D25</f>
        <v>25200</v>
      </c>
      <c r="E24" s="293"/>
      <c r="F24" s="293"/>
    </row>
    <row r="25" spans="1:6" s="9" customFormat="1" ht="33.75" customHeight="1">
      <c r="A25" s="300">
        <v>13030100</v>
      </c>
      <c r="B25" s="161" t="s">
        <v>392</v>
      </c>
      <c r="C25" s="296">
        <f t="shared" si="0"/>
        <v>25200</v>
      </c>
      <c r="D25" s="298">
        <v>25200</v>
      </c>
      <c r="E25" s="296"/>
      <c r="F25" s="296"/>
    </row>
    <row r="26" spans="1:6" s="13" customFormat="1" ht="21.75" customHeight="1">
      <c r="A26" s="292">
        <v>14000000</v>
      </c>
      <c r="B26" s="55" t="s">
        <v>108</v>
      </c>
      <c r="C26" s="293">
        <f t="shared" si="0"/>
        <v>60627800</v>
      </c>
      <c r="D26" s="294">
        <f>D31+D27+D29</f>
        <v>60627800</v>
      </c>
      <c r="E26" s="293"/>
      <c r="F26" s="293"/>
    </row>
    <row r="27" spans="1:6" s="13" customFormat="1" ht="33.75" customHeight="1" hidden="1">
      <c r="A27" s="269">
        <v>14020000</v>
      </c>
      <c r="B27" s="22" t="s">
        <v>276</v>
      </c>
      <c r="C27" s="293">
        <f t="shared" si="0"/>
        <v>0</v>
      </c>
      <c r="D27" s="294">
        <f>D28</f>
        <v>0</v>
      </c>
      <c r="E27" s="293"/>
      <c r="F27" s="293"/>
    </row>
    <row r="28" spans="1:6" s="9" customFormat="1" ht="33.75" customHeight="1" hidden="1">
      <c r="A28" s="268">
        <v>14021900</v>
      </c>
      <c r="B28" s="20" t="s">
        <v>277</v>
      </c>
      <c r="C28" s="296">
        <f t="shared" si="0"/>
        <v>0</v>
      </c>
      <c r="D28" s="298"/>
      <c r="E28" s="296"/>
      <c r="F28" s="296"/>
    </row>
    <row r="29" spans="1:6" s="13" customFormat="1" ht="33.75" customHeight="1" hidden="1">
      <c r="A29" s="269">
        <v>14030000</v>
      </c>
      <c r="B29" s="22" t="s">
        <v>278</v>
      </c>
      <c r="C29" s="293">
        <f t="shared" si="0"/>
        <v>0</v>
      </c>
      <c r="D29" s="294">
        <f>D30</f>
        <v>0</v>
      </c>
      <c r="E29" s="293"/>
      <c r="F29" s="293"/>
    </row>
    <row r="30" spans="1:6" s="9" customFormat="1" ht="33.75" customHeight="1" hidden="1">
      <c r="A30" s="268">
        <v>14031900</v>
      </c>
      <c r="B30" s="20" t="s">
        <v>277</v>
      </c>
      <c r="C30" s="296">
        <f t="shared" si="0"/>
        <v>0</v>
      </c>
      <c r="D30" s="298"/>
      <c r="E30" s="296"/>
      <c r="F30" s="296"/>
    </row>
    <row r="31" spans="1:6" s="13" customFormat="1" ht="33.75" customHeight="1">
      <c r="A31" s="292">
        <v>14040000</v>
      </c>
      <c r="B31" s="22" t="s">
        <v>109</v>
      </c>
      <c r="C31" s="293">
        <f t="shared" si="0"/>
        <v>60627800</v>
      </c>
      <c r="D31" s="294">
        <v>60627800</v>
      </c>
      <c r="E31" s="293"/>
      <c r="F31" s="293"/>
    </row>
    <row r="32" spans="1:6" s="13" customFormat="1" ht="24.75" customHeight="1">
      <c r="A32" s="292">
        <v>18000000</v>
      </c>
      <c r="B32" s="22" t="s">
        <v>110</v>
      </c>
      <c r="C32" s="293">
        <f t="shared" si="0"/>
        <v>172554200</v>
      </c>
      <c r="D32" s="294">
        <f>D33+D44+D47</f>
        <v>172554200</v>
      </c>
      <c r="E32" s="294"/>
      <c r="F32" s="294"/>
    </row>
    <row r="33" spans="1:6" s="13" customFormat="1" ht="24.75" customHeight="1">
      <c r="A33" s="292">
        <v>18010000</v>
      </c>
      <c r="B33" s="22" t="s">
        <v>111</v>
      </c>
      <c r="C33" s="293">
        <f t="shared" si="0"/>
        <v>63093300</v>
      </c>
      <c r="D33" s="294">
        <f>SUM(D34:D43)</f>
        <v>63093300</v>
      </c>
      <c r="E33" s="293"/>
      <c r="F33" s="293"/>
    </row>
    <row r="34" spans="1:6" s="9" customFormat="1" ht="38.25" customHeight="1">
      <c r="A34" s="295">
        <v>18010100</v>
      </c>
      <c r="B34" s="20" t="s">
        <v>112</v>
      </c>
      <c r="C34" s="296">
        <f t="shared" si="0"/>
        <v>306900</v>
      </c>
      <c r="D34" s="298">
        <v>306900</v>
      </c>
      <c r="E34" s="296"/>
      <c r="F34" s="296"/>
    </row>
    <row r="35" spans="1:6" s="9" customFormat="1" ht="42" customHeight="1">
      <c r="A35" s="295">
        <v>18010200</v>
      </c>
      <c r="B35" s="20" t="s">
        <v>113</v>
      </c>
      <c r="C35" s="296">
        <f t="shared" si="0"/>
        <v>1366700</v>
      </c>
      <c r="D35" s="298">
        <v>1366700</v>
      </c>
      <c r="E35" s="296"/>
      <c r="F35" s="296"/>
    </row>
    <row r="36" spans="1:6" s="9" customFormat="1" ht="40.5" customHeight="1">
      <c r="A36" s="295">
        <v>18010300</v>
      </c>
      <c r="B36" s="20" t="s">
        <v>114</v>
      </c>
      <c r="C36" s="296">
        <f t="shared" si="0"/>
        <v>2576400</v>
      </c>
      <c r="D36" s="298">
        <v>2576400</v>
      </c>
      <c r="E36" s="296"/>
      <c r="F36" s="296"/>
    </row>
    <row r="37" spans="1:6" s="9" customFormat="1" ht="42.75" customHeight="1">
      <c r="A37" s="295">
        <v>18010400</v>
      </c>
      <c r="B37" s="20" t="s">
        <v>115</v>
      </c>
      <c r="C37" s="296">
        <f t="shared" si="0"/>
        <v>4828900</v>
      </c>
      <c r="D37" s="298">
        <v>4828900</v>
      </c>
      <c r="E37" s="296"/>
      <c r="F37" s="296"/>
    </row>
    <row r="38" spans="1:6" s="9" customFormat="1" ht="27" customHeight="1">
      <c r="A38" s="295">
        <v>18010500</v>
      </c>
      <c r="B38" s="20" t="s">
        <v>116</v>
      </c>
      <c r="C38" s="296">
        <f t="shared" si="0"/>
        <v>39232400</v>
      </c>
      <c r="D38" s="298">
        <v>39232400</v>
      </c>
      <c r="E38" s="296"/>
      <c r="F38" s="296"/>
    </row>
    <row r="39" spans="1:6" s="9" customFormat="1" ht="26.25" customHeight="1">
      <c r="A39" s="295">
        <v>18010600</v>
      </c>
      <c r="B39" s="20" t="s">
        <v>117</v>
      </c>
      <c r="C39" s="296">
        <f t="shared" si="0"/>
        <v>10400000</v>
      </c>
      <c r="D39" s="298">
        <v>10400000</v>
      </c>
      <c r="E39" s="296"/>
      <c r="F39" s="296"/>
    </row>
    <row r="40" spans="1:6" s="9" customFormat="1" ht="27" customHeight="1">
      <c r="A40" s="295">
        <v>18010700</v>
      </c>
      <c r="B40" s="20" t="s">
        <v>118</v>
      </c>
      <c r="C40" s="296">
        <f t="shared" si="0"/>
        <v>2532000</v>
      </c>
      <c r="D40" s="298">
        <v>2532000</v>
      </c>
      <c r="E40" s="296"/>
      <c r="F40" s="296"/>
    </row>
    <row r="41" spans="1:6" s="9" customFormat="1" ht="26.25" customHeight="1">
      <c r="A41" s="295">
        <v>18010900</v>
      </c>
      <c r="B41" s="20" t="s">
        <v>119</v>
      </c>
      <c r="C41" s="296">
        <f t="shared" si="0"/>
        <v>1200000</v>
      </c>
      <c r="D41" s="298">
        <v>1200000</v>
      </c>
      <c r="E41" s="296"/>
      <c r="F41" s="296"/>
    </row>
    <row r="42" spans="1:6" s="9" customFormat="1" ht="27.75" customHeight="1">
      <c r="A42" s="295">
        <v>18011000</v>
      </c>
      <c r="B42" s="20" t="s">
        <v>120</v>
      </c>
      <c r="C42" s="296">
        <f t="shared" si="0"/>
        <v>125000</v>
      </c>
      <c r="D42" s="298">
        <v>125000</v>
      </c>
      <c r="E42" s="296"/>
      <c r="F42" s="296"/>
    </row>
    <row r="43" spans="1:6" s="9" customFormat="1" ht="30" customHeight="1">
      <c r="A43" s="295">
        <v>18011100</v>
      </c>
      <c r="B43" s="20" t="s">
        <v>121</v>
      </c>
      <c r="C43" s="296">
        <f t="shared" si="0"/>
        <v>525000</v>
      </c>
      <c r="D43" s="298">
        <v>525000</v>
      </c>
      <c r="E43" s="296"/>
      <c r="F43" s="296"/>
    </row>
    <row r="44" spans="1:6" s="13" customFormat="1" ht="24.75" customHeight="1">
      <c r="A44" s="292">
        <v>18030000</v>
      </c>
      <c r="B44" s="22" t="s">
        <v>122</v>
      </c>
      <c r="C44" s="293">
        <f t="shared" si="0"/>
        <v>428600</v>
      </c>
      <c r="D44" s="294">
        <f>D45+D46</f>
        <v>428600</v>
      </c>
      <c r="E44" s="293"/>
      <c r="F44" s="293"/>
    </row>
    <row r="45" spans="1:6" s="9" customFormat="1" ht="21" customHeight="1">
      <c r="A45" s="295">
        <v>18030100</v>
      </c>
      <c r="B45" s="20" t="s">
        <v>123</v>
      </c>
      <c r="C45" s="296">
        <f t="shared" si="0"/>
        <v>219100</v>
      </c>
      <c r="D45" s="298">
        <v>219100</v>
      </c>
      <c r="E45" s="296"/>
      <c r="F45" s="296"/>
    </row>
    <row r="46" spans="1:6" s="9" customFormat="1" ht="21" customHeight="1">
      <c r="A46" s="295">
        <v>18030200</v>
      </c>
      <c r="B46" s="20" t="s">
        <v>124</v>
      </c>
      <c r="C46" s="296">
        <f t="shared" si="0"/>
        <v>209500</v>
      </c>
      <c r="D46" s="298">
        <v>209500</v>
      </c>
      <c r="E46" s="296"/>
      <c r="F46" s="296"/>
    </row>
    <row r="47" spans="1:6" s="13" customFormat="1" ht="24.75" customHeight="1">
      <c r="A47" s="292">
        <v>18050000</v>
      </c>
      <c r="B47" s="22" t="s">
        <v>125</v>
      </c>
      <c r="C47" s="293">
        <f t="shared" si="0"/>
        <v>109032300</v>
      </c>
      <c r="D47" s="294">
        <f>D48+D49+D50</f>
        <v>109032300</v>
      </c>
      <c r="E47" s="293"/>
      <c r="F47" s="293"/>
    </row>
    <row r="48" spans="1:6" s="9" customFormat="1" ht="24.75" customHeight="1">
      <c r="A48" s="295">
        <v>18050300</v>
      </c>
      <c r="B48" s="20" t="s">
        <v>126</v>
      </c>
      <c r="C48" s="296">
        <f t="shared" si="0"/>
        <v>14892400</v>
      </c>
      <c r="D48" s="298">
        <v>14892400</v>
      </c>
      <c r="E48" s="296"/>
      <c r="F48" s="296"/>
    </row>
    <row r="49" spans="1:6" s="9" customFormat="1" ht="24.75" customHeight="1">
      <c r="A49" s="295">
        <v>18050400</v>
      </c>
      <c r="B49" s="20" t="s">
        <v>127</v>
      </c>
      <c r="C49" s="296">
        <f t="shared" si="0"/>
        <v>93253300</v>
      </c>
      <c r="D49" s="298">
        <v>93253300</v>
      </c>
      <c r="E49" s="296"/>
      <c r="F49" s="296"/>
    </row>
    <row r="50" spans="1:6" ht="57" customHeight="1">
      <c r="A50" s="295">
        <v>18050500</v>
      </c>
      <c r="B50" s="282" t="s">
        <v>393</v>
      </c>
      <c r="C50" s="296">
        <f t="shared" si="0"/>
        <v>886600</v>
      </c>
      <c r="D50" s="298">
        <v>886600</v>
      </c>
      <c r="E50" s="296"/>
      <c r="F50" s="296"/>
    </row>
    <row r="51" spans="1:6" s="13" customFormat="1" ht="25.5" customHeight="1">
      <c r="A51" s="292">
        <v>19000000</v>
      </c>
      <c r="B51" s="22" t="s">
        <v>128</v>
      </c>
      <c r="C51" s="293">
        <f t="shared" si="0"/>
        <v>159600</v>
      </c>
      <c r="D51" s="294">
        <f>D52</f>
        <v>0</v>
      </c>
      <c r="E51" s="294">
        <f>E52</f>
        <v>159600</v>
      </c>
      <c r="F51" s="293"/>
    </row>
    <row r="52" spans="1:6" s="13" customFormat="1" ht="24.75" customHeight="1">
      <c r="A52" s="292">
        <v>19010000</v>
      </c>
      <c r="B52" s="22" t="s">
        <v>129</v>
      </c>
      <c r="C52" s="293">
        <f t="shared" si="0"/>
        <v>159600</v>
      </c>
      <c r="D52" s="294">
        <f>D53+D54+D55</f>
        <v>0</v>
      </c>
      <c r="E52" s="294">
        <f>E53+E54+E55</f>
        <v>159600</v>
      </c>
      <c r="F52" s="293"/>
    </row>
    <row r="53" spans="1:6" ht="36.75" customHeight="1">
      <c r="A53" s="295">
        <v>19010100</v>
      </c>
      <c r="B53" s="20" t="s">
        <v>130</v>
      </c>
      <c r="C53" s="296">
        <f t="shared" si="0"/>
        <v>47300</v>
      </c>
      <c r="D53" s="298"/>
      <c r="E53" s="296">
        <v>47300</v>
      </c>
      <c r="F53" s="296"/>
    </row>
    <row r="54" spans="1:6" ht="35.25" customHeight="1">
      <c r="A54" s="295">
        <v>19010200</v>
      </c>
      <c r="B54" s="20" t="s">
        <v>131</v>
      </c>
      <c r="C54" s="296">
        <f t="shared" si="0"/>
        <v>78800</v>
      </c>
      <c r="D54" s="298"/>
      <c r="E54" s="296">
        <v>78800</v>
      </c>
      <c r="F54" s="296"/>
    </row>
    <row r="55" spans="1:6" ht="45" customHeight="1">
      <c r="A55" s="295">
        <v>19010300</v>
      </c>
      <c r="B55" s="20" t="s">
        <v>132</v>
      </c>
      <c r="C55" s="296">
        <f t="shared" si="0"/>
        <v>33500</v>
      </c>
      <c r="D55" s="298"/>
      <c r="E55" s="296">
        <v>33500</v>
      </c>
      <c r="F55" s="296"/>
    </row>
    <row r="56" spans="1:6" s="13" customFormat="1" ht="24.75" customHeight="1">
      <c r="A56" s="292">
        <v>20000000</v>
      </c>
      <c r="B56" s="22" t="s">
        <v>133</v>
      </c>
      <c r="C56" s="293">
        <f t="shared" si="0"/>
        <v>56574144</v>
      </c>
      <c r="D56" s="294">
        <f>D57+D67+D79+D85</f>
        <v>13800000</v>
      </c>
      <c r="E56" s="294">
        <f>E57+E67+E79+E85</f>
        <v>42774144</v>
      </c>
      <c r="F56" s="294">
        <f>F57+F67+F79+F85</f>
        <v>0</v>
      </c>
    </row>
    <row r="57" spans="1:6" s="13" customFormat="1" ht="24.75" customHeight="1">
      <c r="A57" s="292">
        <v>21000000</v>
      </c>
      <c r="B57" s="22" t="s">
        <v>134</v>
      </c>
      <c r="C57" s="293">
        <f t="shared" si="0"/>
        <v>6144700</v>
      </c>
      <c r="D57" s="294">
        <f>D58+D61+D60</f>
        <v>5944700</v>
      </c>
      <c r="E57" s="294">
        <f>E61+E66</f>
        <v>200000</v>
      </c>
      <c r="F57" s="294">
        <f>F61+F66</f>
        <v>0</v>
      </c>
    </row>
    <row r="58" spans="1:6" s="13" customFormat="1" ht="80.25" customHeight="1">
      <c r="A58" s="269">
        <v>21010000</v>
      </c>
      <c r="B58" s="22" t="s">
        <v>135</v>
      </c>
      <c r="C58" s="293">
        <f t="shared" si="0"/>
        <v>2486100</v>
      </c>
      <c r="D58" s="294">
        <f>D59</f>
        <v>2486100</v>
      </c>
      <c r="E58" s="294"/>
      <c r="F58" s="294"/>
    </row>
    <row r="59" spans="1:6" ht="39" customHeight="1">
      <c r="A59" s="295">
        <v>21010300</v>
      </c>
      <c r="B59" s="20" t="s">
        <v>136</v>
      </c>
      <c r="C59" s="296">
        <f t="shared" si="0"/>
        <v>2486100</v>
      </c>
      <c r="D59" s="298">
        <v>2486100</v>
      </c>
      <c r="E59" s="298"/>
      <c r="F59" s="298"/>
    </row>
    <row r="60" spans="1:17" s="4" customFormat="1" ht="39" customHeight="1" hidden="1">
      <c r="A60" s="292">
        <v>21050000</v>
      </c>
      <c r="B60" s="4" t="s">
        <v>304</v>
      </c>
      <c r="C60" s="296">
        <f t="shared" si="0"/>
        <v>0</v>
      </c>
      <c r="D60" s="294"/>
      <c r="E60" s="294"/>
      <c r="F60" s="294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1:6" s="13" customFormat="1" ht="20.25" customHeight="1">
      <c r="A61" s="292">
        <v>21080000</v>
      </c>
      <c r="B61" s="22" t="s">
        <v>137</v>
      </c>
      <c r="C61" s="293">
        <f t="shared" si="0"/>
        <v>3458600</v>
      </c>
      <c r="D61" s="294">
        <f>D62+D63+D64+D65</f>
        <v>3458600</v>
      </c>
      <c r="E61" s="294">
        <f>E62+E63+E64</f>
        <v>0</v>
      </c>
      <c r="F61" s="294">
        <f>F62+F63+F64</f>
        <v>0</v>
      </c>
    </row>
    <row r="62" spans="1:6" ht="48" customHeight="1" hidden="1">
      <c r="A62" s="295">
        <v>21080900</v>
      </c>
      <c r="B62" s="20" t="s">
        <v>138</v>
      </c>
      <c r="C62" s="293">
        <f t="shared" si="0"/>
        <v>0</v>
      </c>
      <c r="D62" s="298"/>
      <c r="E62" s="296"/>
      <c r="F62" s="296"/>
    </row>
    <row r="63" spans="1:6" ht="30" customHeight="1">
      <c r="A63" s="295">
        <v>21081100</v>
      </c>
      <c r="B63" s="20" t="s">
        <v>139</v>
      </c>
      <c r="C63" s="296">
        <f t="shared" si="0"/>
        <v>2258500</v>
      </c>
      <c r="D63" s="298">
        <v>2258500</v>
      </c>
      <c r="E63" s="296"/>
      <c r="F63" s="296"/>
    </row>
    <row r="64" spans="1:6" ht="40.5" customHeight="1">
      <c r="A64" s="295">
        <v>21081500</v>
      </c>
      <c r="B64" s="20" t="s">
        <v>140</v>
      </c>
      <c r="C64" s="296">
        <f t="shared" si="0"/>
        <v>200100</v>
      </c>
      <c r="D64" s="298">
        <v>200100</v>
      </c>
      <c r="E64" s="296"/>
      <c r="F64" s="296"/>
    </row>
    <row r="65" spans="1:6" ht="40.5" customHeight="1">
      <c r="A65" s="295">
        <v>21081700</v>
      </c>
      <c r="B65" s="20" t="s">
        <v>305</v>
      </c>
      <c r="C65" s="296">
        <f t="shared" si="0"/>
        <v>1000000</v>
      </c>
      <c r="D65" s="298">
        <v>1000000</v>
      </c>
      <c r="E65" s="296"/>
      <c r="F65" s="296"/>
    </row>
    <row r="66" spans="1:6" s="13" customFormat="1" ht="48.75" customHeight="1">
      <c r="A66" s="292">
        <v>21110000</v>
      </c>
      <c r="B66" s="22" t="s">
        <v>141</v>
      </c>
      <c r="C66" s="293">
        <f t="shared" si="0"/>
        <v>200000</v>
      </c>
      <c r="D66" s="294"/>
      <c r="E66" s="293">
        <v>200000</v>
      </c>
      <c r="F66" s="293"/>
    </row>
    <row r="67" spans="1:6" s="13" customFormat="1" ht="37.5" customHeight="1">
      <c r="A67" s="292">
        <v>22000000</v>
      </c>
      <c r="B67" s="22" t="s">
        <v>142</v>
      </c>
      <c r="C67" s="293">
        <f t="shared" si="0"/>
        <v>7045300</v>
      </c>
      <c r="D67" s="294">
        <f>D68+D73+D75</f>
        <v>7045300</v>
      </c>
      <c r="E67" s="294"/>
      <c r="F67" s="294"/>
    </row>
    <row r="68" spans="1:6" s="13" customFormat="1" ht="37.5" customHeight="1">
      <c r="A68" s="292">
        <v>22010000</v>
      </c>
      <c r="B68" s="22" t="s">
        <v>143</v>
      </c>
      <c r="C68" s="293">
        <f t="shared" si="0"/>
        <v>6108000</v>
      </c>
      <c r="D68" s="294">
        <f>D69+D70+D71+D72</f>
        <v>6108000</v>
      </c>
      <c r="E68" s="294"/>
      <c r="F68" s="294"/>
    </row>
    <row r="69" spans="1:6" s="9" customFormat="1" ht="37.5" customHeight="1">
      <c r="A69" s="295">
        <v>22010300</v>
      </c>
      <c r="B69" s="20" t="s">
        <v>144</v>
      </c>
      <c r="C69" s="296">
        <f t="shared" si="0"/>
        <v>253800</v>
      </c>
      <c r="D69" s="298">
        <v>253800</v>
      </c>
      <c r="E69" s="298"/>
      <c r="F69" s="298"/>
    </row>
    <row r="70" spans="1:6" s="9" customFormat="1" ht="29.25" customHeight="1">
      <c r="A70" s="295">
        <v>22012500</v>
      </c>
      <c r="B70" s="20" t="s">
        <v>145</v>
      </c>
      <c r="C70" s="296">
        <f t="shared" si="0"/>
        <v>4925400</v>
      </c>
      <c r="D70" s="298">
        <v>4925400</v>
      </c>
      <c r="E70" s="298"/>
      <c r="F70" s="298"/>
    </row>
    <row r="71" spans="1:6" s="9" customFormat="1" ht="37.5" customHeight="1">
      <c r="A71" s="295">
        <v>22012600</v>
      </c>
      <c r="B71" s="20" t="s">
        <v>146</v>
      </c>
      <c r="C71" s="296">
        <f t="shared" si="0"/>
        <v>928800</v>
      </c>
      <c r="D71" s="298">
        <v>928800</v>
      </c>
      <c r="E71" s="298"/>
      <c r="F71" s="298"/>
    </row>
    <row r="72" spans="1:6" s="9" customFormat="1" ht="86.25" customHeight="1" hidden="1">
      <c r="A72" s="295">
        <v>22012900</v>
      </c>
      <c r="B72" s="20" t="s">
        <v>147</v>
      </c>
      <c r="C72" s="296">
        <f t="shared" si="0"/>
        <v>0</v>
      </c>
      <c r="D72" s="298"/>
      <c r="E72" s="296"/>
      <c r="F72" s="296"/>
    </row>
    <row r="73" spans="1:6" s="13" customFormat="1" ht="37.5" customHeight="1">
      <c r="A73" s="292">
        <v>22080000</v>
      </c>
      <c r="B73" s="22" t="s">
        <v>148</v>
      </c>
      <c r="C73" s="293">
        <f t="shared" si="0"/>
        <v>750000</v>
      </c>
      <c r="D73" s="294">
        <f>D74</f>
        <v>750000</v>
      </c>
      <c r="E73" s="293"/>
      <c r="F73" s="293"/>
    </row>
    <row r="74" spans="1:6" s="9" customFormat="1" ht="42.75" customHeight="1">
      <c r="A74" s="295">
        <v>22080400</v>
      </c>
      <c r="B74" s="20" t="s">
        <v>149</v>
      </c>
      <c r="C74" s="296">
        <f t="shared" si="0"/>
        <v>750000</v>
      </c>
      <c r="D74" s="298">
        <v>750000</v>
      </c>
      <c r="E74" s="296"/>
      <c r="F74" s="296"/>
    </row>
    <row r="75" spans="1:6" s="13" customFormat="1" ht="24.75" customHeight="1">
      <c r="A75" s="292">
        <v>22090000</v>
      </c>
      <c r="B75" s="22" t="s">
        <v>150</v>
      </c>
      <c r="C75" s="293">
        <f t="shared" si="0"/>
        <v>187300</v>
      </c>
      <c r="D75" s="294">
        <f>D76+D77</f>
        <v>187300</v>
      </c>
      <c r="E75" s="293"/>
      <c r="F75" s="293"/>
    </row>
    <row r="76" spans="1:6" s="9" customFormat="1" ht="34.5" customHeight="1">
      <c r="A76" s="295">
        <v>22090100</v>
      </c>
      <c r="B76" s="20" t="s">
        <v>151</v>
      </c>
      <c r="C76" s="296">
        <f t="shared" si="0"/>
        <v>137300</v>
      </c>
      <c r="D76" s="298">
        <v>137300</v>
      </c>
      <c r="E76" s="296"/>
      <c r="F76" s="296"/>
    </row>
    <row r="77" spans="1:6" s="9" customFormat="1" ht="34.5" customHeight="1">
      <c r="A77" s="295">
        <v>22090400</v>
      </c>
      <c r="B77" s="20" t="s">
        <v>152</v>
      </c>
      <c r="C77" s="296">
        <f t="shared" si="0"/>
        <v>50000</v>
      </c>
      <c r="D77" s="298">
        <v>50000</v>
      </c>
      <c r="E77" s="296"/>
      <c r="F77" s="296"/>
    </row>
    <row r="78" spans="1:6" s="9" customFormat="1" ht="52.5" customHeight="1" hidden="1">
      <c r="A78" s="295"/>
      <c r="B78" s="20"/>
      <c r="C78" s="293">
        <f t="shared" si="0"/>
        <v>0</v>
      </c>
      <c r="D78" s="298"/>
      <c r="E78" s="296"/>
      <c r="F78" s="296"/>
    </row>
    <row r="79" spans="1:6" s="13" customFormat="1" ht="24.75" customHeight="1">
      <c r="A79" s="292">
        <v>24000000</v>
      </c>
      <c r="B79" s="22" t="s">
        <v>153</v>
      </c>
      <c r="C79" s="293">
        <f t="shared" si="0"/>
        <v>811000</v>
      </c>
      <c r="D79" s="294">
        <f>D80+D84</f>
        <v>810000</v>
      </c>
      <c r="E79" s="294">
        <f>E80+E84</f>
        <v>1000</v>
      </c>
      <c r="F79" s="294">
        <f>F80+F84</f>
        <v>0</v>
      </c>
    </row>
    <row r="80" spans="1:6" s="13" customFormat="1" ht="24.75" customHeight="1">
      <c r="A80" s="292">
        <v>24060000</v>
      </c>
      <c r="B80" s="22" t="s">
        <v>154</v>
      </c>
      <c r="C80" s="293">
        <f t="shared" si="0"/>
        <v>811000</v>
      </c>
      <c r="D80" s="294">
        <f>D81+D82+D83</f>
        <v>810000</v>
      </c>
      <c r="E80" s="294">
        <f>E81+E82</f>
        <v>1000</v>
      </c>
      <c r="F80" s="294">
        <f>F81+F82</f>
        <v>0</v>
      </c>
    </row>
    <row r="81" spans="1:6" s="281" customFormat="1" ht="24.75" customHeight="1">
      <c r="A81" s="301">
        <v>24060300</v>
      </c>
      <c r="B81" s="302" t="s">
        <v>154</v>
      </c>
      <c r="C81" s="303">
        <f aca="true" t="shared" si="1" ref="C81:C109">D81+E81</f>
        <v>660000</v>
      </c>
      <c r="D81" s="304">
        <v>660000</v>
      </c>
      <c r="E81" s="303"/>
      <c r="F81" s="303"/>
    </row>
    <row r="82" spans="1:6" s="9" customFormat="1" ht="50.25" customHeight="1">
      <c r="A82" s="295">
        <v>24062100</v>
      </c>
      <c r="B82" s="20" t="s">
        <v>155</v>
      </c>
      <c r="C82" s="296">
        <f t="shared" si="1"/>
        <v>1000</v>
      </c>
      <c r="D82" s="298"/>
      <c r="E82" s="296">
        <v>1000</v>
      </c>
      <c r="F82" s="296"/>
    </row>
    <row r="83" spans="1:6" s="9" customFormat="1" ht="113.25" customHeight="1">
      <c r="A83" s="295">
        <v>24062200</v>
      </c>
      <c r="B83" s="20" t="s">
        <v>279</v>
      </c>
      <c r="C83" s="296">
        <f t="shared" si="1"/>
        <v>150000</v>
      </c>
      <c r="D83" s="298">
        <v>150000</v>
      </c>
      <c r="E83" s="296"/>
      <c r="F83" s="296"/>
    </row>
    <row r="84" spans="1:6" s="280" customFormat="1" ht="39.75" customHeight="1" hidden="1">
      <c r="A84" s="269">
        <v>24170000</v>
      </c>
      <c r="B84" s="87" t="s">
        <v>156</v>
      </c>
      <c r="C84" s="306">
        <f t="shared" si="1"/>
        <v>0</v>
      </c>
      <c r="D84" s="307"/>
      <c r="E84" s="306"/>
      <c r="F84" s="306">
        <f>E84</f>
        <v>0</v>
      </c>
    </row>
    <row r="85" spans="1:6" s="280" customFormat="1" ht="24.75" customHeight="1">
      <c r="A85" s="305">
        <v>25000000</v>
      </c>
      <c r="B85" s="87" t="s">
        <v>157</v>
      </c>
      <c r="C85" s="306">
        <f t="shared" si="1"/>
        <v>42573144</v>
      </c>
      <c r="D85" s="307"/>
      <c r="E85" s="306">
        <f>E86</f>
        <v>42573144</v>
      </c>
      <c r="F85" s="306"/>
    </row>
    <row r="86" spans="1:6" s="280" customFormat="1" ht="36" customHeight="1">
      <c r="A86" s="305">
        <v>25010000</v>
      </c>
      <c r="B86" s="87" t="s">
        <v>158</v>
      </c>
      <c r="C86" s="306">
        <f t="shared" si="1"/>
        <v>42573144</v>
      </c>
      <c r="D86" s="307"/>
      <c r="E86" s="306">
        <f>E87+E88+E89</f>
        <v>42573144</v>
      </c>
      <c r="F86" s="306"/>
    </row>
    <row r="87" spans="1:6" s="281" customFormat="1" ht="36" customHeight="1">
      <c r="A87" s="268">
        <v>25010100</v>
      </c>
      <c r="B87" s="267" t="s">
        <v>159</v>
      </c>
      <c r="C87" s="303">
        <f t="shared" si="1"/>
        <v>41830986</v>
      </c>
      <c r="D87" s="304"/>
      <c r="E87" s="173">
        <v>41830986</v>
      </c>
      <c r="F87" s="303"/>
    </row>
    <row r="88" spans="1:6" s="281" customFormat="1" ht="24.75" customHeight="1">
      <c r="A88" s="268">
        <v>25010300</v>
      </c>
      <c r="B88" s="267" t="s">
        <v>160</v>
      </c>
      <c r="C88" s="303">
        <f t="shared" si="1"/>
        <v>742158</v>
      </c>
      <c r="D88" s="304"/>
      <c r="E88" s="303">
        <v>742158</v>
      </c>
      <c r="F88" s="303"/>
    </row>
    <row r="89" spans="1:6" s="281" customFormat="1" ht="37.5" customHeight="1" hidden="1">
      <c r="A89" s="268">
        <v>25010400</v>
      </c>
      <c r="B89" s="302" t="s">
        <v>280</v>
      </c>
      <c r="C89" s="303">
        <f t="shared" si="1"/>
        <v>0</v>
      </c>
      <c r="D89" s="304"/>
      <c r="E89" s="303"/>
      <c r="F89" s="303"/>
    </row>
    <row r="90" spans="1:6" s="280" customFormat="1" ht="24.75" customHeight="1">
      <c r="A90" s="305">
        <v>30000000</v>
      </c>
      <c r="B90" s="87" t="s">
        <v>161</v>
      </c>
      <c r="C90" s="306">
        <f t="shared" si="1"/>
        <v>45000000</v>
      </c>
      <c r="D90" s="307"/>
      <c r="E90" s="306">
        <f>E91+E93</f>
        <v>45000000</v>
      </c>
      <c r="F90" s="306">
        <f>F91+F93</f>
        <v>45000000</v>
      </c>
    </row>
    <row r="91" spans="1:6" s="13" customFormat="1" ht="24.75" customHeight="1">
      <c r="A91" s="292">
        <v>31000000</v>
      </c>
      <c r="B91" s="22" t="s">
        <v>162</v>
      </c>
      <c r="C91" s="293">
        <f t="shared" si="1"/>
        <v>13000000</v>
      </c>
      <c r="D91" s="294"/>
      <c r="E91" s="293">
        <f>E92</f>
        <v>13000000</v>
      </c>
      <c r="F91" s="293">
        <f>E91</f>
        <v>13000000</v>
      </c>
    </row>
    <row r="92" spans="1:6" s="9" customFormat="1" ht="36.75" customHeight="1">
      <c r="A92" s="295">
        <v>31030000</v>
      </c>
      <c r="B92" s="20" t="s">
        <v>163</v>
      </c>
      <c r="C92" s="296">
        <f t="shared" si="1"/>
        <v>13000000</v>
      </c>
      <c r="D92" s="298"/>
      <c r="E92" s="296">
        <v>13000000</v>
      </c>
      <c r="F92" s="296">
        <f>E92</f>
        <v>13000000</v>
      </c>
    </row>
    <row r="93" spans="1:6" s="13" customFormat="1" ht="24.75" customHeight="1">
      <c r="A93" s="292">
        <v>33000000</v>
      </c>
      <c r="B93" s="22" t="s">
        <v>164</v>
      </c>
      <c r="C93" s="293">
        <f t="shared" si="1"/>
        <v>32000000</v>
      </c>
      <c r="D93" s="294"/>
      <c r="E93" s="293">
        <f>E94</f>
        <v>32000000</v>
      </c>
      <c r="F93" s="293">
        <f>E93</f>
        <v>32000000</v>
      </c>
    </row>
    <row r="94" spans="1:6" s="13" customFormat="1" ht="24.75" customHeight="1">
      <c r="A94" s="292">
        <v>33010000</v>
      </c>
      <c r="B94" s="22" t="s">
        <v>165</v>
      </c>
      <c r="C94" s="293">
        <f t="shared" si="1"/>
        <v>32000000</v>
      </c>
      <c r="D94" s="294"/>
      <c r="E94" s="293">
        <f>E95+E96</f>
        <v>32000000</v>
      </c>
      <c r="F94" s="293">
        <f>F95+F96</f>
        <v>32000000</v>
      </c>
    </row>
    <row r="95" spans="1:6" s="9" customFormat="1" ht="51" customHeight="1">
      <c r="A95" s="295">
        <v>33010100</v>
      </c>
      <c r="B95" s="20" t="s">
        <v>166</v>
      </c>
      <c r="C95" s="296">
        <f t="shared" si="1"/>
        <v>32000000</v>
      </c>
      <c r="D95" s="298"/>
      <c r="E95" s="296">
        <v>32000000</v>
      </c>
      <c r="F95" s="296">
        <f>E95</f>
        <v>32000000</v>
      </c>
    </row>
    <row r="96" spans="1:6" s="9" customFormat="1" ht="63.75" customHeight="1" hidden="1">
      <c r="A96" s="295">
        <v>33010200</v>
      </c>
      <c r="B96" s="20" t="s">
        <v>167</v>
      </c>
      <c r="C96" s="293">
        <f t="shared" si="1"/>
        <v>0</v>
      </c>
      <c r="D96" s="298"/>
      <c r="E96" s="296"/>
      <c r="F96" s="296">
        <f>E96</f>
        <v>0</v>
      </c>
    </row>
    <row r="97" spans="1:6" s="13" customFormat="1" ht="24.75" customHeight="1">
      <c r="A97" s="292">
        <v>50000000</v>
      </c>
      <c r="B97" s="22" t="s">
        <v>168</v>
      </c>
      <c r="C97" s="293">
        <f t="shared" si="1"/>
        <v>415500</v>
      </c>
      <c r="D97" s="294"/>
      <c r="E97" s="293">
        <f>E98</f>
        <v>415500</v>
      </c>
      <c r="F97" s="293"/>
    </row>
    <row r="98" spans="1:6" ht="48" customHeight="1">
      <c r="A98" s="295">
        <v>50110000</v>
      </c>
      <c r="B98" s="20" t="s">
        <v>169</v>
      </c>
      <c r="C98" s="296">
        <f t="shared" si="1"/>
        <v>415500</v>
      </c>
      <c r="D98" s="298"/>
      <c r="E98" s="296">
        <v>415500</v>
      </c>
      <c r="F98" s="296"/>
    </row>
    <row r="99" spans="1:9" s="13" customFormat="1" ht="24.75" customHeight="1">
      <c r="A99" s="292"/>
      <c r="B99" s="22" t="s">
        <v>306</v>
      </c>
      <c r="C99" s="293">
        <f t="shared" si="1"/>
        <v>813910644</v>
      </c>
      <c r="D99" s="294">
        <f>D11+D56+D90+D97</f>
        <v>725561400</v>
      </c>
      <c r="E99" s="294">
        <f>E11+E56+E90+E97</f>
        <v>88349244</v>
      </c>
      <c r="F99" s="294">
        <f>F11+F56+F90+F97</f>
        <v>45000000</v>
      </c>
      <c r="I99" s="48"/>
    </row>
    <row r="100" spans="1:6" s="13" customFormat="1" ht="21.75" customHeight="1">
      <c r="A100" s="292">
        <v>40000000</v>
      </c>
      <c r="B100" s="22" t="s">
        <v>171</v>
      </c>
      <c r="C100" s="293">
        <f t="shared" si="1"/>
        <v>256839100</v>
      </c>
      <c r="D100" s="294">
        <f>D101</f>
        <v>256839100</v>
      </c>
      <c r="E100" s="294">
        <f>E101</f>
        <v>0</v>
      </c>
      <c r="F100" s="294"/>
    </row>
    <row r="101" spans="1:6" s="13" customFormat="1" ht="17.25" customHeight="1">
      <c r="A101" s="292">
        <v>41000000</v>
      </c>
      <c r="B101" s="22" t="s">
        <v>172</v>
      </c>
      <c r="C101" s="293">
        <f t="shared" si="1"/>
        <v>256839100</v>
      </c>
      <c r="D101" s="294">
        <f>D102+D106+D104</f>
        <v>256839100</v>
      </c>
      <c r="E101" s="294">
        <f>E102</f>
        <v>0</v>
      </c>
      <c r="F101" s="294"/>
    </row>
    <row r="102" spans="1:6" s="13" customFormat="1" ht="18.75" customHeight="1">
      <c r="A102" s="292">
        <v>41030000</v>
      </c>
      <c r="B102" s="53" t="s">
        <v>34</v>
      </c>
      <c r="C102" s="293">
        <f t="shared" si="1"/>
        <v>246832700</v>
      </c>
      <c r="D102" s="294">
        <f>D103</f>
        <v>246832700</v>
      </c>
      <c r="E102" s="294">
        <f>SUM(E103:E109)</f>
        <v>0</v>
      </c>
      <c r="F102" s="293"/>
    </row>
    <row r="103" spans="1:6" ht="27" customHeight="1">
      <c r="A103" s="295">
        <v>41033900</v>
      </c>
      <c r="B103" s="20" t="s">
        <v>173</v>
      </c>
      <c r="C103" s="296">
        <f t="shared" si="1"/>
        <v>246832700</v>
      </c>
      <c r="D103" s="298">
        <v>246832700</v>
      </c>
      <c r="E103" s="296"/>
      <c r="F103" s="296"/>
    </row>
    <row r="104" spans="1:17" s="4" customFormat="1" ht="32.25" customHeight="1">
      <c r="A104" s="292">
        <v>41040000</v>
      </c>
      <c r="B104" s="266" t="s">
        <v>510</v>
      </c>
      <c r="C104" s="293">
        <f t="shared" si="1"/>
        <v>2027800</v>
      </c>
      <c r="D104" s="294">
        <f>D105</f>
        <v>2027800</v>
      </c>
      <c r="E104" s="293"/>
      <c r="F104" s="29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1:6" ht="55.5" customHeight="1">
      <c r="A105" s="295">
        <v>41040200</v>
      </c>
      <c r="B105" s="20" t="s">
        <v>511</v>
      </c>
      <c r="C105" s="296">
        <f t="shared" si="1"/>
        <v>2027800</v>
      </c>
      <c r="D105" s="298">
        <v>2027800</v>
      </c>
      <c r="E105" s="296"/>
      <c r="F105" s="296"/>
    </row>
    <row r="106" spans="1:6" s="13" customFormat="1" ht="24" customHeight="1">
      <c r="A106" s="292">
        <v>41050000</v>
      </c>
      <c r="B106" s="53" t="s">
        <v>35</v>
      </c>
      <c r="C106" s="293">
        <f t="shared" si="1"/>
        <v>7978600</v>
      </c>
      <c r="D106" s="294">
        <f>SUM(D107:D109)</f>
        <v>7978600</v>
      </c>
      <c r="E106" s="293"/>
      <c r="F106" s="293"/>
    </row>
    <row r="107" spans="1:9" ht="51" customHeight="1">
      <c r="A107" s="295">
        <v>41051000</v>
      </c>
      <c r="B107" s="90" t="s">
        <v>307</v>
      </c>
      <c r="C107" s="88">
        <f t="shared" si="1"/>
        <v>3079000</v>
      </c>
      <c r="D107" s="89">
        <v>3079000</v>
      </c>
      <c r="E107" s="88"/>
      <c r="F107" s="88"/>
      <c r="I107" s="19"/>
    </row>
    <row r="108" spans="1:6" ht="52.5" customHeight="1">
      <c r="A108" s="295">
        <v>41051200</v>
      </c>
      <c r="B108" s="90" t="s">
        <v>308</v>
      </c>
      <c r="C108" s="296">
        <f t="shared" si="1"/>
        <v>2657400</v>
      </c>
      <c r="D108" s="298">
        <v>2657400</v>
      </c>
      <c r="E108" s="296"/>
      <c r="F108" s="296"/>
    </row>
    <row r="109" spans="1:6" ht="62.25" customHeight="1">
      <c r="A109" s="295">
        <v>41055000</v>
      </c>
      <c r="B109" s="20" t="s">
        <v>512</v>
      </c>
      <c r="C109" s="296">
        <f t="shared" si="1"/>
        <v>2242200</v>
      </c>
      <c r="D109" s="304">
        <v>2242200</v>
      </c>
      <c r="E109" s="296"/>
      <c r="F109" s="296"/>
    </row>
    <row r="110" spans="1:6" s="57" customFormat="1" ht="34.5" customHeight="1">
      <c r="A110" s="308"/>
      <c r="B110" s="28" t="s">
        <v>170</v>
      </c>
      <c r="C110" s="56">
        <f>D110+E110</f>
        <v>1070749744</v>
      </c>
      <c r="D110" s="29">
        <f>D99+D100</f>
        <v>982400500</v>
      </c>
      <c r="E110" s="29">
        <f>E99+E100</f>
        <v>88349244</v>
      </c>
      <c r="F110" s="29">
        <f>F99+F100</f>
        <v>45000000</v>
      </c>
    </row>
    <row r="114" spans="1:17" ht="15.75">
      <c r="A114" s="1"/>
      <c r="B114" s="610" t="s">
        <v>96</v>
      </c>
      <c r="C114" s="610"/>
      <c r="D114" s="1"/>
      <c r="E114" s="1"/>
      <c r="F114" s="1" t="s">
        <v>471</v>
      </c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6" ht="15.75">
      <c r="E116" s="19"/>
    </row>
  </sheetData>
  <sheetProtection/>
  <mergeCells count="11">
    <mergeCell ref="A8:A9"/>
    <mergeCell ref="B8:B9"/>
    <mergeCell ref="C8:C9"/>
    <mergeCell ref="D8:D9"/>
    <mergeCell ref="E8:F8"/>
    <mergeCell ref="B114:C114"/>
    <mergeCell ref="C1:F1"/>
    <mergeCell ref="A3:F3"/>
    <mergeCell ref="A4:F4"/>
    <mergeCell ref="A5:F5"/>
    <mergeCell ref="A6:F6"/>
  </mergeCells>
  <printOptions horizontalCentered="1"/>
  <pageMargins left="0.31496062992125984" right="0.11811023622047245" top="0.1968503937007874" bottom="0.03937007874015748" header="0.31496062992125984" footer="0.31496062992125984"/>
  <pageSetup fitToHeight="5" horizontalDpi="600" verticalDpi="600" orientation="portrait" paperSize="9" scale="52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4"/>
  <sheetViews>
    <sheetView view="pageBreakPreview" zoomScaleNormal="85" zoomScaleSheetLayoutView="100" zoomScalePageLayoutView="0" workbookViewId="0" topLeftCell="A1">
      <selection activeCell="A2" sqref="A2"/>
    </sheetView>
  </sheetViews>
  <sheetFormatPr defaultColWidth="8.875" defaultRowHeight="12.75"/>
  <cols>
    <col min="1" max="1" width="8.875" style="1" customWidth="1"/>
    <col min="2" max="2" width="11.25390625" style="1" customWidth="1"/>
    <col min="3" max="3" width="33.625" style="1" customWidth="1"/>
    <col min="4" max="4" width="14.75390625" style="1" customWidth="1"/>
    <col min="5" max="5" width="17.875" style="1" bestFit="1" customWidth="1"/>
    <col min="6" max="6" width="23.875" style="1" customWidth="1"/>
    <col min="7" max="7" width="23.25390625" style="1" customWidth="1"/>
    <col min="8" max="9" width="8.875" style="1" customWidth="1"/>
    <col min="10" max="10" width="13.375" style="1" bestFit="1" customWidth="1"/>
    <col min="11" max="16384" width="8.875" style="1" customWidth="1"/>
  </cols>
  <sheetData>
    <row r="1" spans="4:8" ht="94.5" customHeight="1">
      <c r="D1" s="17"/>
      <c r="E1" s="17"/>
      <c r="F1" s="618" t="s">
        <v>593</v>
      </c>
      <c r="G1" s="618"/>
      <c r="H1" s="49"/>
    </row>
    <row r="2" spans="6:7" ht="15.75">
      <c r="F2" s="117" t="s">
        <v>330</v>
      </c>
      <c r="G2" s="117"/>
    </row>
    <row r="4" spans="3:7" ht="18.75">
      <c r="C4" s="619" t="s">
        <v>620</v>
      </c>
      <c r="D4" s="619"/>
      <c r="E4" s="619"/>
      <c r="F4" s="619"/>
      <c r="G4" s="619"/>
    </row>
    <row r="5" spans="3:7" ht="15.75">
      <c r="C5" s="115"/>
      <c r="D5" s="115"/>
      <c r="E5" s="115"/>
      <c r="F5" s="115"/>
      <c r="G5" s="115"/>
    </row>
    <row r="6" spans="3:7" ht="15.75">
      <c r="C6" s="621" t="s">
        <v>386</v>
      </c>
      <c r="D6" s="621"/>
      <c r="E6" s="115"/>
      <c r="F6" s="115"/>
      <c r="G6" s="115"/>
    </row>
    <row r="7" spans="3:4" ht="15.75">
      <c r="C7" s="116" t="s">
        <v>331</v>
      </c>
      <c r="D7" s="35"/>
    </row>
    <row r="8" spans="3:7" ht="15.75">
      <c r="C8" s="116"/>
      <c r="D8" s="35"/>
      <c r="G8" s="35" t="s">
        <v>89</v>
      </c>
    </row>
    <row r="9" spans="2:7" ht="18.75" customHeight="1">
      <c r="B9" s="620" t="s">
        <v>73</v>
      </c>
      <c r="C9" s="620" t="s">
        <v>381</v>
      </c>
      <c r="D9" s="620" t="s">
        <v>284</v>
      </c>
      <c r="E9" s="620" t="s">
        <v>74</v>
      </c>
      <c r="F9" s="620" t="s">
        <v>75</v>
      </c>
      <c r="G9" s="620"/>
    </row>
    <row r="10" spans="2:7" ht="38.25">
      <c r="B10" s="620"/>
      <c r="C10" s="620"/>
      <c r="D10" s="620"/>
      <c r="E10" s="620"/>
      <c r="F10" s="121" t="s">
        <v>284</v>
      </c>
      <c r="G10" s="119" t="s">
        <v>382</v>
      </c>
    </row>
    <row r="11" spans="2:7" s="2" customFormat="1" ht="15.75">
      <c r="B11" s="23">
        <v>1</v>
      </c>
      <c r="C11" s="23">
        <f>B11+1</f>
        <v>2</v>
      </c>
      <c r="D11" s="23">
        <f>C11+1</f>
        <v>3</v>
      </c>
      <c r="E11" s="23">
        <f>D11+1</f>
        <v>4</v>
      </c>
      <c r="F11" s="23">
        <f>E11+1</f>
        <v>5</v>
      </c>
      <c r="G11" s="23">
        <f>F11+1</f>
        <v>6</v>
      </c>
    </row>
    <row r="12" spans="2:7" ht="15.75">
      <c r="B12" s="321">
        <v>200000</v>
      </c>
      <c r="C12" s="319" t="s">
        <v>90</v>
      </c>
      <c r="D12" s="317">
        <f>D17+D13</f>
        <v>14904387.0001</v>
      </c>
      <c r="E12" s="327">
        <f>E17+E13</f>
        <v>-85100500</v>
      </c>
      <c r="F12" s="327">
        <f>F17+F13</f>
        <v>100004887</v>
      </c>
      <c r="G12" s="327">
        <f>G17+G13</f>
        <v>100004887</v>
      </c>
    </row>
    <row r="13" spans="2:7" ht="31.5">
      <c r="B13" s="273">
        <v>202000</v>
      </c>
      <c r="C13" s="310" t="s">
        <v>501</v>
      </c>
      <c r="D13" s="317">
        <f>E13+F13</f>
        <v>14904387</v>
      </c>
      <c r="E13" s="327">
        <f>E14</f>
        <v>0</v>
      </c>
      <c r="F13" s="327">
        <f>F14</f>
        <v>14904387</v>
      </c>
      <c r="G13" s="327">
        <f>G14</f>
        <v>14904387</v>
      </c>
    </row>
    <row r="14" spans="2:7" ht="31.5">
      <c r="B14" s="272">
        <v>202200</v>
      </c>
      <c r="C14" s="311" t="s">
        <v>502</v>
      </c>
      <c r="D14" s="317">
        <f>E14+F14</f>
        <v>14904387</v>
      </c>
      <c r="E14" s="327"/>
      <c r="F14" s="327">
        <f>F15+F16</f>
        <v>14904387</v>
      </c>
      <c r="G14" s="327">
        <f>G15+G16</f>
        <v>14904387</v>
      </c>
    </row>
    <row r="15" spans="2:7" ht="15.75">
      <c r="B15" s="272">
        <v>202210</v>
      </c>
      <c r="C15" s="311" t="s">
        <v>503</v>
      </c>
      <c r="D15" s="317">
        <f>E15+F15</f>
        <v>22653510</v>
      </c>
      <c r="E15" s="327"/>
      <c r="F15" s="327">
        <f>G15</f>
        <v>22653510</v>
      </c>
      <c r="G15" s="327">
        <v>22653510</v>
      </c>
    </row>
    <row r="16" spans="2:7" ht="15.75">
      <c r="B16" s="272">
        <v>202220</v>
      </c>
      <c r="C16" s="311" t="s">
        <v>504</v>
      </c>
      <c r="D16" s="317">
        <f>E16+F16</f>
        <v>-7749123</v>
      </c>
      <c r="E16" s="327"/>
      <c r="F16" s="327">
        <f>G16</f>
        <v>-7749123</v>
      </c>
      <c r="G16" s="327">
        <v>-7749123</v>
      </c>
    </row>
    <row r="17" spans="2:7" ht="47.25">
      <c r="B17" s="321">
        <v>208000</v>
      </c>
      <c r="C17" s="319" t="s">
        <v>91</v>
      </c>
      <c r="D17" s="327">
        <f>D19+D18</f>
        <v>0.0001</v>
      </c>
      <c r="E17" s="327">
        <f>E19+E18</f>
        <v>-85100500</v>
      </c>
      <c r="F17" s="327">
        <f>F19+F18</f>
        <v>85100500</v>
      </c>
      <c r="G17" s="327">
        <f>G19+G18</f>
        <v>85100500</v>
      </c>
    </row>
    <row r="18" spans="2:7" ht="15.75" customHeight="1" hidden="1">
      <c r="B18" s="322">
        <v>208100</v>
      </c>
      <c r="C18" s="314" t="s">
        <v>92</v>
      </c>
      <c r="D18" s="315">
        <f>E18+F18</f>
        <v>0</v>
      </c>
      <c r="E18" s="318"/>
      <c r="F18" s="318"/>
      <c r="G18" s="318"/>
    </row>
    <row r="19" spans="2:10" ht="65.25" customHeight="1">
      <c r="B19" s="322">
        <v>208400</v>
      </c>
      <c r="C19" s="314" t="s">
        <v>93</v>
      </c>
      <c r="D19" s="315">
        <f>E19+F19+0.0001</f>
        <v>0.0001</v>
      </c>
      <c r="E19" s="316">
        <f>-('dod 1'!D110-'dod 3'!E109)</f>
        <v>-85100500</v>
      </c>
      <c r="F19" s="316">
        <f>-E19</f>
        <v>85100500</v>
      </c>
      <c r="G19" s="316">
        <f>F19</f>
        <v>85100500</v>
      </c>
      <c r="J19" s="37"/>
    </row>
    <row r="20" spans="2:10" ht="36.75" customHeight="1">
      <c r="B20" s="273">
        <v>400000</v>
      </c>
      <c r="C20" s="312" t="s">
        <v>505</v>
      </c>
      <c r="D20" s="328">
        <f>D21+D24</f>
        <v>14904387</v>
      </c>
      <c r="E20" s="328">
        <f>E21+E24</f>
        <v>0</v>
      </c>
      <c r="F20" s="328">
        <f>F21+F24</f>
        <v>14904387</v>
      </c>
      <c r="G20" s="328">
        <f>G21+G24</f>
        <v>14904387</v>
      </c>
      <c r="J20" s="37"/>
    </row>
    <row r="21" spans="2:10" ht="29.25" customHeight="1">
      <c r="B21" s="273">
        <v>401000</v>
      </c>
      <c r="C21" s="312" t="s">
        <v>506</v>
      </c>
      <c r="D21" s="328">
        <f>D22</f>
        <v>22653510</v>
      </c>
      <c r="E21" s="328">
        <f>E22</f>
        <v>0</v>
      </c>
      <c r="F21" s="328">
        <f>F22</f>
        <v>22653510</v>
      </c>
      <c r="G21" s="328">
        <f>G22</f>
        <v>22653510</v>
      </c>
      <c r="J21" s="37"/>
    </row>
    <row r="22" spans="2:10" ht="28.5" customHeight="1">
      <c r="B22" s="272">
        <v>401100</v>
      </c>
      <c r="C22" s="313" t="s">
        <v>507</v>
      </c>
      <c r="D22" s="329">
        <f>E22+F22</f>
        <v>22653510</v>
      </c>
      <c r="E22" s="330">
        <f>E23+E26</f>
        <v>0</v>
      </c>
      <c r="F22" s="330">
        <f>F23</f>
        <v>22653510</v>
      </c>
      <c r="G22" s="330">
        <f>G23</f>
        <v>22653510</v>
      </c>
      <c r="J22" s="37"/>
    </row>
    <row r="23" spans="2:10" ht="30.75" customHeight="1">
      <c r="B23" s="324">
        <v>401102</v>
      </c>
      <c r="C23" s="265" t="s">
        <v>508</v>
      </c>
      <c r="D23" s="329">
        <f>E23+F23</f>
        <v>22653510</v>
      </c>
      <c r="E23" s="331"/>
      <c r="F23" s="331">
        <f>F15</f>
        <v>22653510</v>
      </c>
      <c r="G23" s="331">
        <f>G15</f>
        <v>22653510</v>
      </c>
      <c r="J23" s="37"/>
    </row>
    <row r="24" spans="2:10" ht="30.75" customHeight="1">
      <c r="B24" s="321">
        <v>402000</v>
      </c>
      <c r="C24" s="320" t="s">
        <v>514</v>
      </c>
      <c r="D24" s="317">
        <f>E24+F24</f>
        <v>-7749123</v>
      </c>
      <c r="E24" s="327">
        <f aca="true" t="shared" si="0" ref="E24:G25">E25</f>
        <v>0</v>
      </c>
      <c r="F24" s="327">
        <f t="shared" si="0"/>
        <v>-7749123</v>
      </c>
      <c r="G24" s="327">
        <f t="shared" si="0"/>
        <v>-7749123</v>
      </c>
      <c r="J24" s="37"/>
    </row>
    <row r="25" spans="2:10" ht="30.75" customHeight="1">
      <c r="B25" s="322">
        <v>402100</v>
      </c>
      <c r="C25" s="151" t="s">
        <v>513</v>
      </c>
      <c r="D25" s="315">
        <f>E25+F25</f>
        <v>-7749123</v>
      </c>
      <c r="E25" s="318">
        <f t="shared" si="0"/>
        <v>0</v>
      </c>
      <c r="F25" s="318">
        <f t="shared" si="0"/>
        <v>-7749123</v>
      </c>
      <c r="G25" s="318">
        <f t="shared" si="0"/>
        <v>-7749123</v>
      </c>
      <c r="J25" s="37"/>
    </row>
    <row r="26" spans="2:10" ht="30.75" customHeight="1">
      <c r="B26" s="322">
        <v>402102</v>
      </c>
      <c r="C26" s="151" t="s">
        <v>508</v>
      </c>
      <c r="D26" s="315">
        <f>E26+F26</f>
        <v>-7749123</v>
      </c>
      <c r="E26" s="318"/>
      <c r="F26" s="318">
        <f>F16</f>
        <v>-7749123</v>
      </c>
      <c r="G26" s="318">
        <f>G16</f>
        <v>-7749123</v>
      </c>
      <c r="J26" s="37"/>
    </row>
    <row r="27" spans="2:7" s="4" customFormat="1" ht="31.5">
      <c r="B27" s="247">
        <v>600000</v>
      </c>
      <c r="C27" s="325" t="s">
        <v>94</v>
      </c>
      <c r="D27" s="317">
        <f>D28</f>
        <v>0.0001</v>
      </c>
      <c r="E27" s="317">
        <f>E28</f>
        <v>-85100500</v>
      </c>
      <c r="F27" s="317">
        <f>F28</f>
        <v>85100500</v>
      </c>
      <c r="G27" s="317">
        <f>G28</f>
        <v>85100500</v>
      </c>
    </row>
    <row r="28" spans="2:7" s="4" customFormat="1" ht="15.75">
      <c r="B28" s="247">
        <v>602000</v>
      </c>
      <c r="C28" s="326" t="s">
        <v>95</v>
      </c>
      <c r="D28" s="317">
        <f>D29+D30</f>
        <v>0.0001</v>
      </c>
      <c r="E28" s="317">
        <f>E29+E30</f>
        <v>-85100500</v>
      </c>
      <c r="F28" s="317">
        <f>F29+F30</f>
        <v>85100500</v>
      </c>
      <c r="G28" s="317">
        <f>G29+G30</f>
        <v>85100500</v>
      </c>
    </row>
    <row r="29" spans="2:7" ht="15.75" customHeight="1">
      <c r="B29" s="323">
        <v>602100</v>
      </c>
      <c r="C29" s="314" t="s">
        <v>92</v>
      </c>
      <c r="D29" s="315">
        <f>E29+F29</f>
        <v>0</v>
      </c>
      <c r="E29" s="318">
        <f aca="true" t="shared" si="1" ref="E29:G30">E18</f>
        <v>0</v>
      </c>
      <c r="F29" s="318">
        <f t="shared" si="1"/>
        <v>0</v>
      </c>
      <c r="G29" s="318">
        <f t="shared" si="1"/>
        <v>0</v>
      </c>
    </row>
    <row r="30" spans="2:7" ht="68.25" customHeight="1">
      <c r="B30" s="323">
        <v>602400</v>
      </c>
      <c r="C30" s="314" t="s">
        <v>93</v>
      </c>
      <c r="D30" s="315">
        <f>E30+F30+0.0001</f>
        <v>0.0001</v>
      </c>
      <c r="E30" s="315">
        <f t="shared" si="1"/>
        <v>-85100500</v>
      </c>
      <c r="F30" s="315">
        <f t="shared" si="1"/>
        <v>85100500</v>
      </c>
      <c r="G30" s="315">
        <f t="shared" si="1"/>
        <v>85100500</v>
      </c>
    </row>
    <row r="31" s="4" customFormat="1" ht="15.75"/>
    <row r="32" s="4" customFormat="1" ht="15.75" customHeight="1"/>
    <row r="33" s="4" customFormat="1" ht="17.25" customHeight="1"/>
    <row r="34" spans="2:6" ht="15.75">
      <c r="B34" s="108"/>
      <c r="C34" s="617" t="s">
        <v>96</v>
      </c>
      <c r="D34" s="617"/>
      <c r="F34" s="35" t="s">
        <v>471</v>
      </c>
    </row>
  </sheetData>
  <sheetProtection/>
  <mergeCells count="9">
    <mergeCell ref="C34:D34"/>
    <mergeCell ref="F1:G1"/>
    <mergeCell ref="C4:G4"/>
    <mergeCell ref="B9:B10"/>
    <mergeCell ref="C9:C10"/>
    <mergeCell ref="E9:E10"/>
    <mergeCell ref="F9:G9"/>
    <mergeCell ref="D9:D10"/>
    <mergeCell ref="C6:D6"/>
  </mergeCells>
  <printOptions/>
  <pageMargins left="0.25" right="0.21" top="0.47" bottom="0.26" header="0.22" footer="0.26"/>
  <pageSetup fitToHeight="8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showZeros="0" view="pageBreakPreview" zoomScale="55" zoomScaleNormal="70" zoomScaleSheetLayoutView="55" workbookViewId="0" topLeftCell="A7">
      <selection activeCell="D100" sqref="D100"/>
    </sheetView>
  </sheetViews>
  <sheetFormatPr defaultColWidth="9.00390625" defaultRowHeight="12.75" outlineLevelRow="1"/>
  <cols>
    <col min="1" max="1" width="16.875" style="5" customWidth="1"/>
    <col min="2" max="2" width="17.125" style="5" customWidth="1"/>
    <col min="3" max="3" width="19.75390625" style="3" customWidth="1"/>
    <col min="4" max="4" width="68.875" style="6" customWidth="1"/>
    <col min="5" max="5" width="18.375" style="25" customWidth="1"/>
    <col min="6" max="6" width="19.25390625" style="3" customWidth="1"/>
    <col min="7" max="7" width="16.125" style="3" customWidth="1"/>
    <col min="8" max="8" width="16.75390625" style="3" customWidth="1"/>
    <col min="9" max="9" width="16.875" style="3" customWidth="1"/>
    <col min="10" max="10" width="18.25390625" style="25" customWidth="1"/>
    <col min="11" max="11" width="19.125" style="3" customWidth="1"/>
    <col min="12" max="12" width="16.75390625" style="3" customWidth="1"/>
    <col min="13" max="13" width="15.00390625" style="3" customWidth="1"/>
    <col min="14" max="14" width="15.75390625" style="3" customWidth="1"/>
    <col min="15" max="15" width="17.75390625" style="3" customWidth="1"/>
    <col min="16" max="16" width="18.625" style="3" customWidth="1"/>
    <col min="17" max="18" width="9.125" style="3" customWidth="1"/>
    <col min="19" max="19" width="17.25390625" style="3" bestFit="1" customWidth="1"/>
    <col min="20" max="16384" width="9.125" style="3" customWidth="1"/>
  </cols>
  <sheetData>
    <row r="1" spans="1:16" ht="80.25" customHeight="1">
      <c r="A1" s="105"/>
      <c r="B1" s="105"/>
      <c r="C1" s="217"/>
      <c r="D1" s="216"/>
      <c r="E1" s="215"/>
      <c r="F1" s="217"/>
      <c r="G1" s="217"/>
      <c r="H1" s="217"/>
      <c r="I1" s="217"/>
      <c r="J1" s="215"/>
      <c r="K1" s="217"/>
      <c r="L1" s="622" t="s">
        <v>594</v>
      </c>
      <c r="M1" s="622"/>
      <c r="N1" s="622"/>
      <c r="O1" s="622"/>
      <c r="P1" s="622"/>
    </row>
    <row r="2" spans="1:16" ht="19.5" customHeight="1">
      <c r="A2" s="105"/>
      <c r="B2" s="105"/>
      <c r="C2" s="217"/>
      <c r="D2" s="216"/>
      <c r="E2" s="215"/>
      <c r="F2" s="217"/>
      <c r="G2" s="217"/>
      <c r="H2" s="217"/>
      <c r="I2" s="217"/>
      <c r="J2" s="215"/>
      <c r="K2" s="106"/>
      <c r="L2" s="629" t="s">
        <v>332</v>
      </c>
      <c r="M2" s="629"/>
      <c r="N2" s="629"/>
      <c r="O2" s="629"/>
      <c r="P2" s="629"/>
    </row>
    <row r="3" spans="1:16" ht="21.75" customHeight="1">
      <c r="A3" s="630" t="s">
        <v>323</v>
      </c>
      <c r="B3" s="630"/>
      <c r="C3" s="630"/>
      <c r="D3" s="630"/>
      <c r="E3" s="630"/>
      <c r="F3" s="630"/>
      <c r="G3" s="630"/>
      <c r="H3" s="630"/>
      <c r="I3" s="630"/>
      <c r="J3" s="630"/>
      <c r="K3" s="630"/>
      <c r="L3" s="630"/>
      <c r="M3" s="630"/>
      <c r="N3" s="630"/>
      <c r="O3" s="630"/>
      <c r="P3" s="630"/>
    </row>
    <row r="4" spans="1:16" ht="24" customHeight="1">
      <c r="A4" s="624" t="s">
        <v>595</v>
      </c>
      <c r="B4" s="624"/>
      <c r="C4" s="624"/>
      <c r="D4" s="624"/>
      <c r="E4" s="624"/>
      <c r="F4" s="624"/>
      <c r="G4" s="624"/>
      <c r="H4" s="624"/>
      <c r="I4" s="624"/>
      <c r="J4" s="624"/>
      <c r="K4" s="624"/>
      <c r="L4" s="624"/>
      <c r="M4" s="624"/>
      <c r="N4" s="624"/>
      <c r="O4" s="624"/>
      <c r="P4" s="624"/>
    </row>
    <row r="5" spans="1:16" ht="24" customHeight="1">
      <c r="A5" s="249"/>
      <c r="B5" s="249"/>
      <c r="C5" s="249"/>
      <c r="D5" s="621" t="s">
        <v>386</v>
      </c>
      <c r="E5" s="621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</row>
    <row r="6" spans="1:16" ht="15.75">
      <c r="A6" s="105"/>
      <c r="B6" s="105"/>
      <c r="C6" s="217"/>
      <c r="D6" s="116" t="s">
        <v>331</v>
      </c>
      <c r="E6" s="215"/>
      <c r="F6" s="217"/>
      <c r="G6" s="217"/>
      <c r="H6" s="217"/>
      <c r="I6" s="217"/>
      <c r="J6" s="215"/>
      <c r="K6" s="217"/>
      <c r="L6" s="217"/>
      <c r="M6" s="217"/>
      <c r="N6" s="217"/>
      <c r="O6" s="217"/>
      <c r="P6" s="155" t="s">
        <v>89</v>
      </c>
    </row>
    <row r="7" spans="1:16" ht="58.5" customHeight="1">
      <c r="A7" s="620" t="s">
        <v>377</v>
      </c>
      <c r="B7" s="620" t="s">
        <v>378</v>
      </c>
      <c r="C7" s="628" t="s">
        <v>379</v>
      </c>
      <c r="D7" s="625" t="s">
        <v>346</v>
      </c>
      <c r="E7" s="620" t="s">
        <v>74</v>
      </c>
      <c r="F7" s="620"/>
      <c r="G7" s="620"/>
      <c r="H7" s="620"/>
      <c r="I7" s="620"/>
      <c r="J7" s="620" t="s">
        <v>75</v>
      </c>
      <c r="K7" s="620"/>
      <c r="L7" s="620"/>
      <c r="M7" s="620"/>
      <c r="N7" s="620"/>
      <c r="O7" s="620"/>
      <c r="P7" s="620" t="s">
        <v>39</v>
      </c>
    </row>
    <row r="8" spans="1:16" ht="18.75" customHeight="1">
      <c r="A8" s="620"/>
      <c r="B8" s="620"/>
      <c r="C8" s="628"/>
      <c r="D8" s="626"/>
      <c r="E8" s="620" t="s">
        <v>285</v>
      </c>
      <c r="F8" s="623" t="s">
        <v>51</v>
      </c>
      <c r="G8" s="620" t="s">
        <v>380</v>
      </c>
      <c r="H8" s="620"/>
      <c r="I8" s="623" t="s">
        <v>52</v>
      </c>
      <c r="J8" s="620" t="s">
        <v>285</v>
      </c>
      <c r="K8" s="625" t="s">
        <v>289</v>
      </c>
      <c r="L8" s="623" t="s">
        <v>51</v>
      </c>
      <c r="M8" s="620" t="s">
        <v>380</v>
      </c>
      <c r="N8" s="620"/>
      <c r="O8" s="623" t="s">
        <v>52</v>
      </c>
      <c r="P8" s="620"/>
    </row>
    <row r="9" spans="1:16" ht="13.5" customHeight="1">
      <c r="A9" s="620"/>
      <c r="B9" s="620"/>
      <c r="C9" s="628"/>
      <c r="D9" s="626"/>
      <c r="E9" s="620"/>
      <c r="F9" s="623"/>
      <c r="G9" s="620" t="s">
        <v>40</v>
      </c>
      <c r="H9" s="620" t="s">
        <v>41</v>
      </c>
      <c r="I9" s="623"/>
      <c r="J9" s="620"/>
      <c r="K9" s="626"/>
      <c r="L9" s="623"/>
      <c r="M9" s="620" t="s">
        <v>40</v>
      </c>
      <c r="N9" s="620" t="s">
        <v>41</v>
      </c>
      <c r="O9" s="623"/>
      <c r="P9" s="620"/>
    </row>
    <row r="10" spans="1:16" ht="84.75" customHeight="1">
      <c r="A10" s="620"/>
      <c r="B10" s="620"/>
      <c r="C10" s="628"/>
      <c r="D10" s="627"/>
      <c r="E10" s="620"/>
      <c r="F10" s="623"/>
      <c r="G10" s="620"/>
      <c r="H10" s="620"/>
      <c r="I10" s="623"/>
      <c r="J10" s="620"/>
      <c r="K10" s="627"/>
      <c r="L10" s="623"/>
      <c r="M10" s="620"/>
      <c r="N10" s="620"/>
      <c r="O10" s="623"/>
      <c r="P10" s="620"/>
    </row>
    <row r="11" spans="1:16" s="24" customFormat="1" ht="12.75" customHeight="1">
      <c r="A11" s="104">
        <v>1</v>
      </c>
      <c r="B11" s="104">
        <f>A11+1</f>
        <v>2</v>
      </c>
      <c r="C11" s="104">
        <f aca="true" t="shared" si="0" ref="C11:J11">B11+1</f>
        <v>3</v>
      </c>
      <c r="D11" s="104">
        <f t="shared" si="0"/>
        <v>4</v>
      </c>
      <c r="E11" s="104">
        <f t="shared" si="0"/>
        <v>5</v>
      </c>
      <c r="F11" s="104">
        <f t="shared" si="0"/>
        <v>6</v>
      </c>
      <c r="G11" s="104">
        <f t="shared" si="0"/>
        <v>7</v>
      </c>
      <c r="H11" s="104">
        <f t="shared" si="0"/>
        <v>8</v>
      </c>
      <c r="I11" s="104">
        <f t="shared" si="0"/>
        <v>9</v>
      </c>
      <c r="J11" s="104">
        <f t="shared" si="0"/>
        <v>10</v>
      </c>
      <c r="K11" s="104">
        <f>J11+1</f>
        <v>11</v>
      </c>
      <c r="L11" s="104">
        <v>12</v>
      </c>
      <c r="M11" s="104">
        <f>L11+1</f>
        <v>13</v>
      </c>
      <c r="N11" s="104">
        <f>M11+1</f>
        <v>14</v>
      </c>
      <c r="O11" s="104">
        <f>N11+1</f>
        <v>15</v>
      </c>
      <c r="P11" s="104">
        <v>16</v>
      </c>
    </row>
    <row r="12" spans="1:19" s="79" customFormat="1" ht="31.5">
      <c r="A12" s="207" t="s">
        <v>311</v>
      </c>
      <c r="B12" s="207" t="s">
        <v>312</v>
      </c>
      <c r="C12" s="208"/>
      <c r="D12" s="209" t="s">
        <v>309</v>
      </c>
      <c r="E12" s="210">
        <f>E13</f>
        <v>105046837</v>
      </c>
      <c r="F12" s="210">
        <f aca="true" t="shared" si="1" ref="F12:N12">F13</f>
        <v>105046837</v>
      </c>
      <c r="G12" s="210">
        <f t="shared" si="1"/>
        <v>44848793</v>
      </c>
      <c r="H12" s="210">
        <f t="shared" si="1"/>
        <v>2130400</v>
      </c>
      <c r="I12" s="210">
        <f t="shared" si="1"/>
        <v>0</v>
      </c>
      <c r="J12" s="210">
        <f>J13</f>
        <v>6217560</v>
      </c>
      <c r="K12" s="210">
        <f t="shared" si="1"/>
        <v>5027060</v>
      </c>
      <c r="L12" s="210">
        <f t="shared" si="1"/>
        <v>950000</v>
      </c>
      <c r="M12" s="210">
        <f t="shared" si="1"/>
        <v>0</v>
      </c>
      <c r="N12" s="210">
        <f t="shared" si="1"/>
        <v>20500</v>
      </c>
      <c r="O12" s="210">
        <f>O13</f>
        <v>5267560</v>
      </c>
      <c r="P12" s="210">
        <f>E12+J12</f>
        <v>111264397</v>
      </c>
      <c r="S12" s="174">
        <f aca="true" t="shared" si="2" ref="S12:S75">O12-K12</f>
        <v>240500</v>
      </c>
    </row>
    <row r="13" spans="1:19" s="79" customFormat="1" ht="31.5">
      <c r="A13" s="207" t="s">
        <v>314</v>
      </c>
      <c r="B13" s="207"/>
      <c r="C13" s="208"/>
      <c r="D13" s="209" t="s">
        <v>310</v>
      </c>
      <c r="E13" s="210">
        <f>SUM(E14:E27)-E17-E20</f>
        <v>105046837</v>
      </c>
      <c r="F13" s="210">
        <f>SUM(F14:F27)-F17-F20</f>
        <v>105046837</v>
      </c>
      <c r="G13" s="210">
        <f>SUM(G14:G27)-G17-G20</f>
        <v>44848793</v>
      </c>
      <c r="H13" s="210">
        <f>SUM(H14:H27)-H17-H20</f>
        <v>2130400</v>
      </c>
      <c r="I13" s="210">
        <f>SUM(I14:I27)-I17-I20</f>
        <v>0</v>
      </c>
      <c r="J13" s="210">
        <f>SUM(J14:J27)</f>
        <v>6217560</v>
      </c>
      <c r="K13" s="210">
        <f>SUM(K14:K27)-K17-K20</f>
        <v>5027060</v>
      </c>
      <c r="L13" s="210">
        <f>SUM(L14:L27)-L17-L20</f>
        <v>950000</v>
      </c>
      <c r="M13" s="210">
        <f>SUM(M14:M27)-M17-M20</f>
        <v>0</v>
      </c>
      <c r="N13" s="210">
        <f>SUM(N14:N27)-N17-N20</f>
        <v>20500</v>
      </c>
      <c r="O13" s="210">
        <f>SUM(O14:O27)-O17-O20</f>
        <v>5267560</v>
      </c>
      <c r="P13" s="210">
        <f>SUM(P14:P27)</f>
        <v>115534397</v>
      </c>
      <c r="S13" s="174">
        <f t="shared" si="2"/>
        <v>240500</v>
      </c>
    </row>
    <row r="14" spans="1:19" s="162" customFormat="1" ht="47.25">
      <c r="A14" s="211" t="s">
        <v>313</v>
      </c>
      <c r="B14" s="211" t="s">
        <v>182</v>
      </c>
      <c r="C14" s="203" t="s">
        <v>53</v>
      </c>
      <c r="D14" s="172" t="s">
        <v>395</v>
      </c>
      <c r="E14" s="205">
        <f aca="true" t="shared" si="3" ref="E14:E21">F14+I14</f>
        <v>62990928</v>
      </c>
      <c r="F14" s="205">
        <v>62990928</v>
      </c>
      <c r="G14" s="205">
        <v>44779121</v>
      </c>
      <c r="H14" s="205">
        <v>2130400</v>
      </c>
      <c r="I14" s="205"/>
      <c r="J14" s="205">
        <f>L14+O14</f>
        <v>1409500</v>
      </c>
      <c r="K14" s="205">
        <f>700000-240500</f>
        <v>459500</v>
      </c>
      <c r="L14" s="205">
        <v>950000</v>
      </c>
      <c r="M14" s="205"/>
      <c r="N14" s="205">
        <v>20500</v>
      </c>
      <c r="O14" s="205">
        <f>700000-240500</f>
        <v>459500</v>
      </c>
      <c r="P14" s="205">
        <f>E14+J14</f>
        <v>64400428</v>
      </c>
      <c r="S14" s="174">
        <f t="shared" si="2"/>
        <v>0</v>
      </c>
    </row>
    <row r="15" spans="1:19" s="78" customFormat="1" ht="24" customHeight="1">
      <c r="A15" s="211" t="s">
        <v>315</v>
      </c>
      <c r="B15" s="211" t="s">
        <v>70</v>
      </c>
      <c r="C15" s="203" t="s">
        <v>61</v>
      </c>
      <c r="D15" s="202" t="s">
        <v>192</v>
      </c>
      <c r="E15" s="205">
        <f t="shared" si="3"/>
        <v>1440000</v>
      </c>
      <c r="F15" s="205">
        <v>1440000</v>
      </c>
      <c r="G15" s="205"/>
      <c r="H15" s="205"/>
      <c r="I15" s="205"/>
      <c r="J15" s="205">
        <f aca="true" t="shared" si="4" ref="J15:J27">L15+O15</f>
        <v>0</v>
      </c>
      <c r="K15" s="205"/>
      <c r="L15" s="205"/>
      <c r="M15" s="205"/>
      <c r="N15" s="205"/>
      <c r="O15" s="205"/>
      <c r="P15" s="205">
        <f aca="true" t="shared" si="5" ref="P15:P53">E15+J15</f>
        <v>1440000</v>
      </c>
      <c r="S15" s="174">
        <f t="shared" si="2"/>
        <v>0</v>
      </c>
    </row>
    <row r="16" spans="1:19" s="78" customFormat="1" ht="30.75" customHeight="1">
      <c r="A16" s="251" t="s">
        <v>446</v>
      </c>
      <c r="B16" s="251" t="s">
        <v>82</v>
      </c>
      <c r="C16" s="253" t="s">
        <v>68</v>
      </c>
      <c r="D16" s="254" t="s">
        <v>328</v>
      </c>
      <c r="E16" s="167">
        <f t="shared" si="3"/>
        <v>9191653</v>
      </c>
      <c r="F16" s="167">
        <v>9191653</v>
      </c>
      <c r="G16" s="167"/>
      <c r="H16" s="167"/>
      <c r="I16" s="167"/>
      <c r="J16" s="167">
        <f t="shared" si="4"/>
        <v>0</v>
      </c>
      <c r="K16" s="167"/>
      <c r="L16" s="167"/>
      <c r="M16" s="167"/>
      <c r="N16" s="167"/>
      <c r="O16" s="167"/>
      <c r="P16" s="205">
        <f t="shared" si="5"/>
        <v>9191653</v>
      </c>
      <c r="S16" s="174">
        <f t="shared" si="2"/>
        <v>0</v>
      </c>
    </row>
    <row r="17" spans="1:19" s="276" customFormat="1" ht="47.25">
      <c r="A17" s="278"/>
      <c r="B17" s="278"/>
      <c r="C17" s="275"/>
      <c r="D17" s="274" t="s">
        <v>496</v>
      </c>
      <c r="E17" s="169">
        <f t="shared" si="3"/>
        <v>2027800</v>
      </c>
      <c r="F17" s="169">
        <v>2027800</v>
      </c>
      <c r="G17" s="169"/>
      <c r="H17" s="169"/>
      <c r="I17" s="169"/>
      <c r="J17" s="169"/>
      <c r="K17" s="169"/>
      <c r="L17" s="169"/>
      <c r="M17" s="169"/>
      <c r="N17" s="169"/>
      <c r="O17" s="169"/>
      <c r="P17" s="164">
        <f t="shared" si="5"/>
        <v>2027800</v>
      </c>
      <c r="S17" s="174">
        <f t="shared" si="2"/>
        <v>0</v>
      </c>
    </row>
    <row r="18" spans="1:19" s="78" customFormat="1" ht="30.75" customHeight="1">
      <c r="A18" s="251" t="s">
        <v>447</v>
      </c>
      <c r="B18" s="251" t="s">
        <v>219</v>
      </c>
      <c r="C18" s="253" t="s">
        <v>296</v>
      </c>
      <c r="D18" s="255" t="s">
        <v>252</v>
      </c>
      <c r="E18" s="167">
        <f t="shared" si="3"/>
        <v>1459516</v>
      </c>
      <c r="F18" s="167">
        <v>1459516</v>
      </c>
      <c r="G18" s="167"/>
      <c r="H18" s="167"/>
      <c r="I18" s="167"/>
      <c r="J18" s="167">
        <f t="shared" si="4"/>
        <v>0</v>
      </c>
      <c r="K18" s="167"/>
      <c r="L18" s="167"/>
      <c r="M18" s="167"/>
      <c r="N18" s="167"/>
      <c r="O18" s="167"/>
      <c r="P18" s="205">
        <f t="shared" si="5"/>
        <v>1459516</v>
      </c>
      <c r="S18" s="174">
        <f t="shared" si="2"/>
        <v>0</v>
      </c>
    </row>
    <row r="19" spans="1:19" s="78" customFormat="1" ht="30.75" customHeight="1">
      <c r="A19" s="251" t="s">
        <v>443</v>
      </c>
      <c r="B19" s="251" t="s">
        <v>253</v>
      </c>
      <c r="C19" s="252" t="s">
        <v>69</v>
      </c>
      <c r="D19" s="256" t="s">
        <v>329</v>
      </c>
      <c r="E19" s="167">
        <f t="shared" si="3"/>
        <v>5742200</v>
      </c>
      <c r="F19" s="167">
        <f>3500000+2242200</f>
        <v>5742200</v>
      </c>
      <c r="G19" s="167"/>
      <c r="H19" s="167"/>
      <c r="I19" s="167"/>
      <c r="J19" s="167">
        <f t="shared" si="4"/>
        <v>0</v>
      </c>
      <c r="K19" s="167"/>
      <c r="L19" s="167"/>
      <c r="M19" s="167"/>
      <c r="N19" s="167"/>
      <c r="O19" s="167"/>
      <c r="P19" s="205">
        <f t="shared" si="5"/>
        <v>5742200</v>
      </c>
      <c r="S19" s="174">
        <f t="shared" si="2"/>
        <v>0</v>
      </c>
    </row>
    <row r="20" spans="1:19" s="276" customFormat="1" ht="78.75">
      <c r="A20" s="278"/>
      <c r="B20" s="278"/>
      <c r="C20" s="277"/>
      <c r="D20" s="279" t="s">
        <v>497</v>
      </c>
      <c r="E20" s="169">
        <f t="shared" si="3"/>
        <v>2242200</v>
      </c>
      <c r="F20" s="169">
        <v>2242200</v>
      </c>
      <c r="G20" s="169"/>
      <c r="H20" s="169"/>
      <c r="I20" s="169"/>
      <c r="J20" s="169"/>
      <c r="K20" s="169"/>
      <c r="L20" s="169"/>
      <c r="M20" s="169"/>
      <c r="N20" s="169"/>
      <c r="O20" s="169"/>
      <c r="P20" s="164">
        <f t="shared" si="5"/>
        <v>2242200</v>
      </c>
      <c r="S20" s="174">
        <f t="shared" si="2"/>
        <v>0</v>
      </c>
    </row>
    <row r="21" spans="1:19" s="78" customFormat="1" ht="30.75" customHeight="1">
      <c r="A21" s="251" t="s">
        <v>23</v>
      </c>
      <c r="B21" s="251" t="s">
        <v>24</v>
      </c>
      <c r="C21" s="252" t="s">
        <v>69</v>
      </c>
      <c r="D21" s="257" t="s">
        <v>22</v>
      </c>
      <c r="E21" s="167">
        <f t="shared" si="3"/>
        <v>20699540</v>
      </c>
      <c r="F21" s="167">
        <f>17450000+2300000+949540</f>
        <v>20699540</v>
      </c>
      <c r="G21" s="167"/>
      <c r="H21" s="167"/>
      <c r="I21" s="167"/>
      <c r="J21" s="205">
        <f>L21+O21</f>
        <v>4567560</v>
      </c>
      <c r="K21" s="167">
        <f>4500000+67560</f>
        <v>4567560</v>
      </c>
      <c r="L21" s="167"/>
      <c r="M21" s="167"/>
      <c r="N21" s="167"/>
      <c r="O21" s="167">
        <f>K21</f>
        <v>4567560</v>
      </c>
      <c r="P21" s="205">
        <f t="shared" si="5"/>
        <v>25267100</v>
      </c>
      <c r="S21" s="174">
        <f t="shared" si="2"/>
        <v>0</v>
      </c>
    </row>
    <row r="22" spans="1:19" s="78" customFormat="1" ht="31.5">
      <c r="A22" s="211" t="s">
        <v>316</v>
      </c>
      <c r="B22" s="211" t="s">
        <v>77</v>
      </c>
      <c r="C22" s="203" t="s">
        <v>54</v>
      </c>
      <c r="D22" s="214" t="s">
        <v>43</v>
      </c>
      <c r="E22" s="205">
        <f aca="true" t="shared" si="6" ref="E22:E28">F22+I22</f>
        <v>200000</v>
      </c>
      <c r="F22" s="205">
        <v>200000</v>
      </c>
      <c r="G22" s="205"/>
      <c r="H22" s="205"/>
      <c r="I22" s="205"/>
      <c r="J22" s="205">
        <f>L22+O22</f>
        <v>0</v>
      </c>
      <c r="K22" s="205"/>
      <c r="L22" s="205"/>
      <c r="M22" s="205"/>
      <c r="N22" s="205"/>
      <c r="O22" s="205"/>
      <c r="P22" s="205">
        <f t="shared" si="5"/>
        <v>200000</v>
      </c>
      <c r="S22" s="174">
        <f t="shared" si="2"/>
        <v>0</v>
      </c>
    </row>
    <row r="23" spans="1:19" s="78" customFormat="1" ht="18.75" customHeight="1">
      <c r="A23" s="211" t="s">
        <v>317</v>
      </c>
      <c r="B23" s="211" t="s">
        <v>11</v>
      </c>
      <c r="C23" s="203" t="s">
        <v>37</v>
      </c>
      <c r="D23" s="202" t="s">
        <v>38</v>
      </c>
      <c r="E23" s="205">
        <f t="shared" si="6"/>
        <v>85000</v>
      </c>
      <c r="F23" s="205">
        <v>85000</v>
      </c>
      <c r="G23" s="205">
        <v>69672</v>
      </c>
      <c r="H23" s="205"/>
      <c r="I23" s="205"/>
      <c r="J23" s="205">
        <f t="shared" si="4"/>
        <v>0</v>
      </c>
      <c r="K23" s="205"/>
      <c r="L23" s="205"/>
      <c r="M23" s="205"/>
      <c r="N23" s="205"/>
      <c r="O23" s="205"/>
      <c r="P23" s="205">
        <f t="shared" si="5"/>
        <v>85000</v>
      </c>
      <c r="S23" s="174">
        <f t="shared" si="2"/>
        <v>0</v>
      </c>
    </row>
    <row r="24" spans="1:19" s="78" customFormat="1" ht="22.5" customHeight="1">
      <c r="A24" s="211" t="s">
        <v>318</v>
      </c>
      <c r="B24" s="211" t="s">
        <v>12</v>
      </c>
      <c r="C24" s="203" t="s">
        <v>193</v>
      </c>
      <c r="D24" s="201" t="s">
        <v>13</v>
      </c>
      <c r="E24" s="205">
        <f t="shared" si="6"/>
        <v>1848000</v>
      </c>
      <c r="F24" s="205">
        <v>1848000</v>
      </c>
      <c r="G24" s="205"/>
      <c r="H24" s="205"/>
      <c r="I24" s="205"/>
      <c r="J24" s="205">
        <f t="shared" si="4"/>
        <v>0</v>
      </c>
      <c r="K24" s="205"/>
      <c r="L24" s="205"/>
      <c r="M24" s="205"/>
      <c r="N24" s="205"/>
      <c r="O24" s="205"/>
      <c r="P24" s="205">
        <f t="shared" si="5"/>
        <v>1848000</v>
      </c>
      <c r="S24" s="174">
        <f t="shared" si="2"/>
        <v>0</v>
      </c>
    </row>
    <row r="25" spans="1:19" s="78" customFormat="1" ht="99" customHeight="1">
      <c r="A25" s="211" t="s">
        <v>321</v>
      </c>
      <c r="B25" s="211" t="s">
        <v>14</v>
      </c>
      <c r="C25" s="203" t="s">
        <v>67</v>
      </c>
      <c r="D25" s="200" t="s">
        <v>291</v>
      </c>
      <c r="E25" s="205">
        <f t="shared" si="6"/>
        <v>0</v>
      </c>
      <c r="F25" s="205"/>
      <c r="G25" s="205"/>
      <c r="H25" s="205"/>
      <c r="I25" s="205"/>
      <c r="J25" s="205">
        <f t="shared" si="4"/>
        <v>240500</v>
      </c>
      <c r="K25" s="205"/>
      <c r="L25" s="205"/>
      <c r="M25" s="205"/>
      <c r="N25" s="205"/>
      <c r="O25" s="205">
        <v>240500</v>
      </c>
      <c r="P25" s="205">
        <f t="shared" si="5"/>
        <v>240500</v>
      </c>
      <c r="S25" s="174">
        <f t="shared" si="2"/>
        <v>240500</v>
      </c>
    </row>
    <row r="26" spans="1:19" s="78" customFormat="1" ht="27" customHeight="1">
      <c r="A26" s="211" t="s">
        <v>319</v>
      </c>
      <c r="B26" s="211" t="s">
        <v>240</v>
      </c>
      <c r="C26" s="203" t="s">
        <v>67</v>
      </c>
      <c r="D26" s="200" t="s">
        <v>241</v>
      </c>
      <c r="E26" s="205">
        <f>F26+I26</f>
        <v>1150000</v>
      </c>
      <c r="F26" s="205">
        <f>2050000-900000</f>
        <v>1150000</v>
      </c>
      <c r="G26" s="205"/>
      <c r="H26" s="205"/>
      <c r="I26" s="205"/>
      <c r="J26" s="205">
        <f t="shared" si="4"/>
        <v>0</v>
      </c>
      <c r="K26" s="205"/>
      <c r="L26" s="205"/>
      <c r="M26" s="205"/>
      <c r="N26" s="205"/>
      <c r="O26" s="205"/>
      <c r="P26" s="205">
        <f t="shared" si="5"/>
        <v>1150000</v>
      </c>
      <c r="S26" s="174">
        <f t="shared" si="2"/>
        <v>0</v>
      </c>
    </row>
    <row r="27" spans="1:19" s="78" customFormat="1" ht="33.75" customHeight="1">
      <c r="A27" s="211" t="s">
        <v>320</v>
      </c>
      <c r="B27" s="211" t="s">
        <v>194</v>
      </c>
      <c r="C27" s="212" t="s">
        <v>195</v>
      </c>
      <c r="D27" s="199" t="s">
        <v>15</v>
      </c>
      <c r="E27" s="198">
        <f t="shared" si="6"/>
        <v>240000</v>
      </c>
      <c r="F27" s="198">
        <v>240000</v>
      </c>
      <c r="G27" s="198"/>
      <c r="H27" s="198"/>
      <c r="I27" s="198"/>
      <c r="J27" s="198">
        <f t="shared" si="4"/>
        <v>0</v>
      </c>
      <c r="K27" s="198"/>
      <c r="L27" s="198"/>
      <c r="M27" s="198"/>
      <c r="N27" s="198"/>
      <c r="O27" s="198"/>
      <c r="P27" s="198">
        <f t="shared" si="5"/>
        <v>240000</v>
      </c>
      <c r="S27" s="174">
        <f t="shared" si="2"/>
        <v>0</v>
      </c>
    </row>
    <row r="28" spans="1:19" s="71" customFormat="1" ht="31.5">
      <c r="A28" s="207" t="s">
        <v>210</v>
      </c>
      <c r="B28" s="207" t="s">
        <v>211</v>
      </c>
      <c r="C28" s="197"/>
      <c r="D28" s="196" t="s">
        <v>358</v>
      </c>
      <c r="E28" s="195">
        <f t="shared" si="6"/>
        <v>550088250</v>
      </c>
      <c r="F28" s="194">
        <f aca="true" t="shared" si="7" ref="F28:O28">F29</f>
        <v>550088250</v>
      </c>
      <c r="G28" s="194">
        <f t="shared" si="7"/>
        <v>395890080</v>
      </c>
      <c r="H28" s="194">
        <f t="shared" si="7"/>
        <v>22465730</v>
      </c>
      <c r="I28" s="194">
        <f t="shared" si="7"/>
        <v>0</v>
      </c>
      <c r="J28" s="194">
        <f t="shared" si="7"/>
        <v>30296224</v>
      </c>
      <c r="K28" s="194">
        <f t="shared" si="7"/>
        <v>2480850</v>
      </c>
      <c r="L28" s="194">
        <f t="shared" si="7"/>
        <v>27815374</v>
      </c>
      <c r="M28" s="194">
        <f t="shared" si="7"/>
        <v>546325</v>
      </c>
      <c r="N28" s="194">
        <f t="shared" si="7"/>
        <v>479320</v>
      </c>
      <c r="O28" s="194">
        <f t="shared" si="7"/>
        <v>2480850</v>
      </c>
      <c r="P28" s="210">
        <f t="shared" si="5"/>
        <v>580384474</v>
      </c>
      <c r="S28" s="174">
        <f t="shared" si="2"/>
        <v>0</v>
      </c>
    </row>
    <row r="29" spans="1:19" s="71" customFormat="1" ht="31.5">
      <c r="A29" s="207" t="s">
        <v>212</v>
      </c>
      <c r="B29" s="207"/>
      <c r="C29" s="197"/>
      <c r="D29" s="196" t="s">
        <v>359</v>
      </c>
      <c r="E29" s="195">
        <f>F29+I29</f>
        <v>550088250</v>
      </c>
      <c r="F29" s="194">
        <f>F32+F34+F38+F39+F44+F45+F48+F46+F47++F40+F41+F42+F49+F31</f>
        <v>550088250</v>
      </c>
      <c r="G29" s="194">
        <f>G32+G34+G38+G39+G44+G45+G48+G46+G47++G40+G41+G42+G49+G31</f>
        <v>395890080</v>
      </c>
      <c r="H29" s="194">
        <f>H32+H34+H38+H39+H44+H45+H48+H46+H47++H40+H41+H42+H49+H31</f>
        <v>22465730</v>
      </c>
      <c r="I29" s="194">
        <f>I32+I34+I38+I39+I44+I45+I48+I46+I47++I40+I41+I42+I49+I31</f>
        <v>0</v>
      </c>
      <c r="J29" s="194">
        <f>L29+O29</f>
        <v>30296224</v>
      </c>
      <c r="K29" s="194">
        <f>K32+K34+K38+K39+K44+K45+K48+K46+K47+K40+K41+K42+K49+K31</f>
        <v>2480850</v>
      </c>
      <c r="L29" s="194">
        <f>L32+L34+L38+L39+L44+L45+L48+L46+L47+L40+L41+L42+L49+L31</f>
        <v>27815374</v>
      </c>
      <c r="M29" s="194">
        <f>M32+M34+M38+M39+M44+M45+M48+M46+M47+M40+M41+M42+M49+M31</f>
        <v>546325</v>
      </c>
      <c r="N29" s="194">
        <f>N32+N34+N38+N39+N44+N45+N48+N46+N47+N40+N41+N42+N49+N31</f>
        <v>479320</v>
      </c>
      <c r="O29" s="194">
        <f>O32+O34+O38+O39+O44+O45+O48+O46+O47+O40+O41+O42+O49+O31</f>
        <v>2480850</v>
      </c>
      <c r="P29" s="210">
        <f t="shared" si="5"/>
        <v>580384474</v>
      </c>
      <c r="S29" s="174">
        <f t="shared" si="2"/>
        <v>0</v>
      </c>
    </row>
    <row r="30" spans="1:19" s="80" customFormat="1" ht="15.75">
      <c r="A30" s="192"/>
      <c r="B30" s="192"/>
      <c r="C30" s="191"/>
      <c r="D30" s="190" t="s">
        <v>76</v>
      </c>
      <c r="E30" s="189">
        <f>F30+I30</f>
        <v>252299100</v>
      </c>
      <c r="F30" s="188">
        <f>F33+F35+F36+F37+F43</f>
        <v>252299100</v>
      </c>
      <c r="G30" s="188">
        <f>G33+G35+G36+G37+G43</f>
        <v>205292048</v>
      </c>
      <c r="H30" s="188">
        <f>H33+H35+H36+H37+H43</f>
        <v>0</v>
      </c>
      <c r="I30" s="188">
        <f>I33+I35+I36+I37+I43</f>
        <v>0</v>
      </c>
      <c r="J30" s="188">
        <f>L30+O30</f>
        <v>270000</v>
      </c>
      <c r="K30" s="188">
        <v>270000</v>
      </c>
      <c r="L30" s="188">
        <f>L35+L36+L37+L43</f>
        <v>0</v>
      </c>
      <c r="M30" s="188">
        <f>M35+M36+M37+M43</f>
        <v>0</v>
      </c>
      <c r="N30" s="188">
        <f>N35+N36+N37+N43</f>
        <v>0</v>
      </c>
      <c r="O30" s="188">
        <f>O33+O35+O36+O37+O43</f>
        <v>270000</v>
      </c>
      <c r="P30" s="187">
        <f t="shared" si="5"/>
        <v>252569100</v>
      </c>
      <c r="S30" s="174">
        <f t="shared" si="2"/>
        <v>0</v>
      </c>
    </row>
    <row r="31" spans="1:19" s="71" customFormat="1" ht="47.25">
      <c r="A31" s="211" t="s">
        <v>396</v>
      </c>
      <c r="B31" s="211" t="s">
        <v>182</v>
      </c>
      <c r="C31" s="203" t="s">
        <v>53</v>
      </c>
      <c r="D31" s="172" t="s">
        <v>395</v>
      </c>
      <c r="E31" s="167">
        <f>F31+I31</f>
        <v>2804835</v>
      </c>
      <c r="F31" s="193">
        <v>2804835</v>
      </c>
      <c r="G31" s="193">
        <v>2207957</v>
      </c>
      <c r="H31" s="193">
        <v>44942</v>
      </c>
      <c r="I31" s="194"/>
      <c r="J31" s="205">
        <f>L31+O31</f>
        <v>0</v>
      </c>
      <c r="K31" s="194"/>
      <c r="L31" s="194"/>
      <c r="M31" s="194"/>
      <c r="N31" s="194"/>
      <c r="O31" s="194"/>
      <c r="P31" s="205">
        <f>E31+J31</f>
        <v>2804835</v>
      </c>
      <c r="S31" s="174">
        <f t="shared" si="2"/>
        <v>0</v>
      </c>
    </row>
    <row r="32" spans="1:19" s="81" customFormat="1" ht="20.25" customHeight="1">
      <c r="A32" s="211" t="s">
        <v>213</v>
      </c>
      <c r="B32" s="211" t="s">
        <v>58</v>
      </c>
      <c r="C32" s="186" t="s">
        <v>300</v>
      </c>
      <c r="D32" s="170" t="s">
        <v>398</v>
      </c>
      <c r="E32" s="167">
        <f aca="true" t="shared" si="8" ref="E32:E49">F32+I32</f>
        <v>182017336</v>
      </c>
      <c r="F32" s="167">
        <f>164357816-750275+17837839+571956</f>
        <v>182017336</v>
      </c>
      <c r="G32" s="167">
        <f>114410764+11612607+350082</f>
        <v>126373453</v>
      </c>
      <c r="H32" s="167">
        <f>9728310+1899783</f>
        <v>11628093</v>
      </c>
      <c r="I32" s="167"/>
      <c r="J32" s="205">
        <f aca="true" t="shared" si="9" ref="J32:J43">L32+O32</f>
        <v>27074219</v>
      </c>
      <c r="K32" s="205">
        <v>820275</v>
      </c>
      <c r="L32" s="167">
        <v>26253944</v>
      </c>
      <c r="M32" s="167">
        <v>460425</v>
      </c>
      <c r="N32" s="167">
        <f>21460+21460</f>
        <v>42920</v>
      </c>
      <c r="O32" s="205">
        <f>750275+70000</f>
        <v>820275</v>
      </c>
      <c r="P32" s="205">
        <f>E32+J32</f>
        <v>209091555</v>
      </c>
      <c r="S32" s="174">
        <f t="shared" si="2"/>
        <v>0</v>
      </c>
    </row>
    <row r="33" spans="1:19" s="166" customFormat="1" ht="47.25">
      <c r="A33" s="204"/>
      <c r="B33" s="204"/>
      <c r="C33" s="185"/>
      <c r="D33" s="168" t="s">
        <v>498</v>
      </c>
      <c r="E33" s="169">
        <f t="shared" si="8"/>
        <v>571956</v>
      </c>
      <c r="F33" s="169">
        <v>571956</v>
      </c>
      <c r="G33" s="169">
        <v>350082</v>
      </c>
      <c r="H33" s="169"/>
      <c r="I33" s="169"/>
      <c r="J33" s="164">
        <f t="shared" si="9"/>
        <v>70000</v>
      </c>
      <c r="K33" s="164">
        <v>70000</v>
      </c>
      <c r="L33" s="169"/>
      <c r="M33" s="169"/>
      <c r="N33" s="169"/>
      <c r="O33" s="164">
        <v>70000</v>
      </c>
      <c r="P33" s="164">
        <f t="shared" si="5"/>
        <v>641956</v>
      </c>
      <c r="S33" s="174">
        <f t="shared" si="2"/>
        <v>0</v>
      </c>
    </row>
    <row r="34" spans="1:19" s="81" customFormat="1" ht="62.25" customHeight="1">
      <c r="A34" s="211" t="s">
        <v>214</v>
      </c>
      <c r="B34" s="211" t="s">
        <v>60</v>
      </c>
      <c r="C34" s="186" t="s">
        <v>299</v>
      </c>
      <c r="D34" s="170" t="s">
        <v>324</v>
      </c>
      <c r="E34" s="167">
        <f t="shared" si="8"/>
        <v>321992074</v>
      </c>
      <c r="F34" s="167">
        <f>58021286-1460575+13559819+246832700+1223400+1815444+2000000</f>
        <v>321992074</v>
      </c>
      <c r="G34" s="167">
        <f>29424670+8836630+202321885+1099097</f>
        <v>241682282</v>
      </c>
      <c r="H34" s="167">
        <f>7581168+2147830</f>
        <v>9728998</v>
      </c>
      <c r="I34" s="167"/>
      <c r="J34" s="205">
        <f t="shared" si="9"/>
        <v>2547918</v>
      </c>
      <c r="K34" s="205">
        <v>1660575</v>
      </c>
      <c r="L34" s="167">
        <v>887343</v>
      </c>
      <c r="M34" s="167">
        <v>85900</v>
      </c>
      <c r="N34" s="167">
        <f>13415+53650+107300</f>
        <v>174365</v>
      </c>
      <c r="O34" s="205">
        <f>1460575+200000</f>
        <v>1660575</v>
      </c>
      <c r="P34" s="205">
        <f t="shared" si="5"/>
        <v>324539992</v>
      </c>
      <c r="S34" s="174">
        <f t="shared" si="2"/>
        <v>0</v>
      </c>
    </row>
    <row r="35" spans="1:19" s="83" customFormat="1" ht="25.5" customHeight="1">
      <c r="A35" s="204"/>
      <c r="B35" s="204"/>
      <c r="C35" s="185"/>
      <c r="D35" s="168" t="s">
        <v>325</v>
      </c>
      <c r="E35" s="169">
        <f>F35+I35</f>
        <v>246832700</v>
      </c>
      <c r="F35" s="169">
        <v>246832700</v>
      </c>
      <c r="G35" s="169">
        <v>202321885</v>
      </c>
      <c r="H35" s="169"/>
      <c r="I35" s="169"/>
      <c r="J35" s="164">
        <f t="shared" si="9"/>
        <v>0</v>
      </c>
      <c r="K35" s="164"/>
      <c r="L35" s="169"/>
      <c r="M35" s="169"/>
      <c r="N35" s="169"/>
      <c r="O35" s="164"/>
      <c r="P35" s="164">
        <f t="shared" si="5"/>
        <v>246832700</v>
      </c>
      <c r="S35" s="174">
        <f t="shared" si="2"/>
        <v>0</v>
      </c>
    </row>
    <row r="36" spans="1:19" s="83" customFormat="1" ht="67.5" customHeight="1">
      <c r="A36" s="204"/>
      <c r="B36" s="204"/>
      <c r="C36" s="185"/>
      <c r="D36" s="171" t="s">
        <v>397</v>
      </c>
      <c r="E36" s="169">
        <f t="shared" si="8"/>
        <v>1223400</v>
      </c>
      <c r="F36" s="169">
        <v>1223400</v>
      </c>
      <c r="G36" s="169"/>
      <c r="H36" s="169"/>
      <c r="I36" s="169"/>
      <c r="J36" s="164"/>
      <c r="K36" s="164"/>
      <c r="L36" s="169"/>
      <c r="M36" s="169"/>
      <c r="N36" s="169"/>
      <c r="O36" s="164"/>
      <c r="P36" s="164">
        <f t="shared" si="5"/>
        <v>1223400</v>
      </c>
      <c r="S36" s="174">
        <f t="shared" si="2"/>
        <v>0</v>
      </c>
    </row>
    <row r="37" spans="1:19" s="166" customFormat="1" ht="67.5" customHeight="1">
      <c r="A37" s="204"/>
      <c r="B37" s="204"/>
      <c r="C37" s="185"/>
      <c r="D37" s="168" t="s">
        <v>326</v>
      </c>
      <c r="E37" s="169">
        <f t="shared" si="8"/>
        <v>1815444</v>
      </c>
      <c r="F37" s="169">
        <v>1815444</v>
      </c>
      <c r="G37" s="169">
        <v>1099097</v>
      </c>
      <c r="H37" s="169"/>
      <c r="I37" s="169"/>
      <c r="J37" s="164">
        <f t="shared" si="9"/>
        <v>200000</v>
      </c>
      <c r="K37" s="164">
        <v>200000</v>
      </c>
      <c r="L37" s="169"/>
      <c r="M37" s="169"/>
      <c r="N37" s="169"/>
      <c r="O37" s="164">
        <v>200000</v>
      </c>
      <c r="P37" s="164">
        <f t="shared" si="5"/>
        <v>2015444</v>
      </c>
      <c r="S37" s="174">
        <f t="shared" si="2"/>
        <v>0</v>
      </c>
    </row>
    <row r="38" spans="1:19" s="81" customFormat="1" ht="30" customHeight="1">
      <c r="A38" s="211" t="s">
        <v>215</v>
      </c>
      <c r="B38" s="211" t="s">
        <v>59</v>
      </c>
      <c r="C38" s="186" t="s">
        <v>64</v>
      </c>
      <c r="D38" s="202" t="s">
        <v>249</v>
      </c>
      <c r="E38" s="167">
        <f t="shared" si="8"/>
        <v>10106888</v>
      </c>
      <c r="F38" s="167">
        <v>10106888</v>
      </c>
      <c r="G38" s="167">
        <v>7554237</v>
      </c>
      <c r="H38" s="167">
        <v>265804</v>
      </c>
      <c r="I38" s="167"/>
      <c r="J38" s="205">
        <f t="shared" si="9"/>
        <v>160965</v>
      </c>
      <c r="K38" s="205"/>
      <c r="L38" s="167">
        <v>160965</v>
      </c>
      <c r="M38" s="167"/>
      <c r="N38" s="167">
        <f>6440+21460+16095</f>
        <v>43995</v>
      </c>
      <c r="O38" s="205"/>
      <c r="P38" s="205">
        <f t="shared" si="5"/>
        <v>10267853</v>
      </c>
      <c r="S38" s="174">
        <f t="shared" si="2"/>
        <v>0</v>
      </c>
    </row>
    <row r="39" spans="1:19" s="81" customFormat="1" ht="29.25" customHeight="1">
      <c r="A39" s="211" t="s">
        <v>217</v>
      </c>
      <c r="B39" s="211" t="s">
        <v>216</v>
      </c>
      <c r="C39" s="186" t="s">
        <v>29</v>
      </c>
      <c r="D39" s="202" t="s">
        <v>218</v>
      </c>
      <c r="E39" s="167">
        <f t="shared" si="8"/>
        <v>3604488</v>
      </c>
      <c r="F39" s="167">
        <v>3604488</v>
      </c>
      <c r="G39" s="167">
        <v>2840477</v>
      </c>
      <c r="H39" s="167">
        <v>24536</v>
      </c>
      <c r="I39" s="167"/>
      <c r="J39" s="205">
        <f t="shared" si="9"/>
        <v>0</v>
      </c>
      <c r="K39" s="205"/>
      <c r="L39" s="205"/>
      <c r="M39" s="205"/>
      <c r="N39" s="205"/>
      <c r="O39" s="205"/>
      <c r="P39" s="205">
        <f t="shared" si="5"/>
        <v>3604488</v>
      </c>
      <c r="S39" s="174">
        <f t="shared" si="2"/>
        <v>0</v>
      </c>
    </row>
    <row r="40" spans="1:19" s="81" customFormat="1" ht="21" customHeight="1">
      <c r="A40" s="211" t="s">
        <v>33</v>
      </c>
      <c r="B40" s="211" t="s">
        <v>32</v>
      </c>
      <c r="C40" s="186" t="s">
        <v>29</v>
      </c>
      <c r="D40" s="184" t="s">
        <v>399</v>
      </c>
      <c r="E40" s="167">
        <f t="shared" si="8"/>
        <v>9450256</v>
      </c>
      <c r="F40" s="167">
        <v>9450256</v>
      </c>
      <c r="G40" s="167">
        <v>7549458</v>
      </c>
      <c r="H40" s="167">
        <v>74417</v>
      </c>
      <c r="I40" s="167"/>
      <c r="J40" s="205">
        <f t="shared" si="9"/>
        <v>0</v>
      </c>
      <c r="K40" s="205"/>
      <c r="L40" s="205"/>
      <c r="M40" s="205"/>
      <c r="N40" s="205"/>
      <c r="O40" s="205"/>
      <c r="P40" s="167">
        <f t="shared" si="5"/>
        <v>9450256</v>
      </c>
      <c r="S40" s="174">
        <f t="shared" si="2"/>
        <v>0</v>
      </c>
    </row>
    <row r="41" spans="1:19" s="81" customFormat="1" ht="24" customHeight="1">
      <c r="A41" s="211" t="s">
        <v>31</v>
      </c>
      <c r="B41" s="211" t="s">
        <v>30</v>
      </c>
      <c r="C41" s="186" t="s">
        <v>29</v>
      </c>
      <c r="D41" s="202" t="s">
        <v>301</v>
      </c>
      <c r="E41" s="167">
        <f t="shared" si="8"/>
        <v>7292025</v>
      </c>
      <c r="F41" s="167">
        <f>9292025-2000000</f>
        <v>7292025</v>
      </c>
      <c r="G41" s="167"/>
      <c r="H41" s="167"/>
      <c r="I41" s="167"/>
      <c r="J41" s="205">
        <f t="shared" si="9"/>
        <v>0</v>
      </c>
      <c r="K41" s="167"/>
      <c r="L41" s="167"/>
      <c r="M41" s="167"/>
      <c r="N41" s="167"/>
      <c r="O41" s="167"/>
      <c r="P41" s="167">
        <f t="shared" si="5"/>
        <v>7292025</v>
      </c>
      <c r="S41" s="174">
        <f t="shared" si="2"/>
        <v>0</v>
      </c>
    </row>
    <row r="42" spans="1:19" s="81" customFormat="1" ht="24" customHeight="1">
      <c r="A42" s="211" t="s">
        <v>402</v>
      </c>
      <c r="B42" s="211" t="s">
        <v>400</v>
      </c>
      <c r="C42" s="203" t="s">
        <v>29</v>
      </c>
      <c r="D42" s="183" t="s">
        <v>405</v>
      </c>
      <c r="E42" s="167">
        <f t="shared" si="8"/>
        <v>3054028</v>
      </c>
      <c r="F42" s="167">
        <f>1198428+1855600</f>
        <v>3054028</v>
      </c>
      <c r="G42" s="167">
        <f>805300+1520984</f>
        <v>2326284</v>
      </c>
      <c r="H42" s="167">
        <v>103347</v>
      </c>
      <c r="I42" s="167"/>
      <c r="J42" s="205">
        <f t="shared" si="9"/>
        <v>30052</v>
      </c>
      <c r="K42" s="167"/>
      <c r="L42" s="167">
        <v>30052</v>
      </c>
      <c r="M42" s="167"/>
      <c r="N42" s="167">
        <f>2150+1075+26825</f>
        <v>30050</v>
      </c>
      <c r="O42" s="167"/>
      <c r="P42" s="167">
        <f t="shared" si="5"/>
        <v>3084080</v>
      </c>
      <c r="S42" s="174">
        <f t="shared" si="2"/>
        <v>0</v>
      </c>
    </row>
    <row r="43" spans="1:19" s="83" customFormat="1" ht="47.25">
      <c r="A43" s="204"/>
      <c r="B43" s="204"/>
      <c r="C43" s="185"/>
      <c r="D43" s="171" t="s">
        <v>327</v>
      </c>
      <c r="E43" s="169">
        <f t="shared" si="8"/>
        <v>1855600</v>
      </c>
      <c r="F43" s="169">
        <v>1855600</v>
      </c>
      <c r="G43" s="169">
        <v>1520984</v>
      </c>
      <c r="H43" s="169"/>
      <c r="I43" s="169"/>
      <c r="J43" s="164">
        <f t="shared" si="9"/>
        <v>0</v>
      </c>
      <c r="K43" s="169"/>
      <c r="L43" s="169"/>
      <c r="M43" s="169"/>
      <c r="N43" s="169"/>
      <c r="O43" s="169"/>
      <c r="P43" s="169">
        <f t="shared" si="5"/>
        <v>1855600</v>
      </c>
      <c r="S43" s="174">
        <f t="shared" si="2"/>
        <v>0</v>
      </c>
    </row>
    <row r="44" spans="1:19" s="77" customFormat="1" ht="39" customHeight="1">
      <c r="A44" s="211" t="s">
        <v>220</v>
      </c>
      <c r="B44" s="211" t="s">
        <v>221</v>
      </c>
      <c r="C44" s="203" t="s">
        <v>54</v>
      </c>
      <c r="D44" s="202" t="s">
        <v>222</v>
      </c>
      <c r="E44" s="167">
        <f t="shared" si="8"/>
        <v>561000</v>
      </c>
      <c r="F44" s="167">
        <v>561000</v>
      </c>
      <c r="G44" s="167"/>
      <c r="H44" s="167"/>
      <c r="I44" s="167"/>
      <c r="J44" s="167"/>
      <c r="K44" s="205"/>
      <c r="L44" s="205"/>
      <c r="M44" s="205"/>
      <c r="N44" s="205"/>
      <c r="O44" s="205"/>
      <c r="P44" s="205">
        <f t="shared" si="5"/>
        <v>561000</v>
      </c>
      <c r="S44" s="174">
        <f t="shared" si="2"/>
        <v>0</v>
      </c>
    </row>
    <row r="45" spans="1:19" s="77" customFormat="1" ht="60" customHeight="1">
      <c r="A45" s="211" t="s">
        <v>250</v>
      </c>
      <c r="B45" s="211" t="s">
        <v>78</v>
      </c>
      <c r="C45" s="182">
        <v>1040</v>
      </c>
      <c r="D45" s="181" t="s">
        <v>223</v>
      </c>
      <c r="E45" s="167">
        <f t="shared" si="8"/>
        <v>198000</v>
      </c>
      <c r="F45" s="167">
        <v>198000</v>
      </c>
      <c r="G45" s="167"/>
      <c r="H45" s="167"/>
      <c r="I45" s="167"/>
      <c r="J45" s="205">
        <f>L45+O45</f>
        <v>0</v>
      </c>
      <c r="K45" s="205"/>
      <c r="L45" s="205"/>
      <c r="M45" s="205"/>
      <c r="N45" s="205"/>
      <c r="O45" s="205"/>
      <c r="P45" s="205">
        <f t="shared" si="5"/>
        <v>198000</v>
      </c>
      <c r="S45" s="174">
        <f t="shared" si="2"/>
        <v>0</v>
      </c>
    </row>
    <row r="46" spans="1:19" s="78" customFormat="1" ht="31.5">
      <c r="A46" s="211" t="s">
        <v>224</v>
      </c>
      <c r="B46" s="211" t="s">
        <v>80</v>
      </c>
      <c r="C46" s="186" t="s">
        <v>302</v>
      </c>
      <c r="D46" s="214" t="s">
        <v>42</v>
      </c>
      <c r="E46" s="205">
        <f t="shared" si="8"/>
        <v>569200</v>
      </c>
      <c r="F46" s="205">
        <v>569200</v>
      </c>
      <c r="G46" s="205"/>
      <c r="H46" s="205"/>
      <c r="I46" s="205"/>
      <c r="J46" s="205">
        <f>L46+O46</f>
        <v>0</v>
      </c>
      <c r="K46" s="205"/>
      <c r="L46" s="205"/>
      <c r="M46" s="205"/>
      <c r="N46" s="205"/>
      <c r="O46" s="205"/>
      <c r="P46" s="205">
        <f t="shared" si="5"/>
        <v>569200</v>
      </c>
      <c r="S46" s="174">
        <f t="shared" si="2"/>
        <v>0</v>
      </c>
    </row>
    <row r="47" spans="1:19" s="78" customFormat="1" ht="36.75" customHeight="1">
      <c r="A47" s="211" t="s">
        <v>225</v>
      </c>
      <c r="B47" s="211" t="s">
        <v>36</v>
      </c>
      <c r="C47" s="186" t="s">
        <v>302</v>
      </c>
      <c r="D47" s="214" t="s">
        <v>87</v>
      </c>
      <c r="E47" s="205">
        <f t="shared" si="8"/>
        <v>343350</v>
      </c>
      <c r="F47" s="205">
        <v>343350</v>
      </c>
      <c r="G47" s="205"/>
      <c r="H47" s="205"/>
      <c r="I47" s="205"/>
      <c r="J47" s="205"/>
      <c r="K47" s="205"/>
      <c r="L47" s="205"/>
      <c r="M47" s="205"/>
      <c r="N47" s="205"/>
      <c r="O47" s="205"/>
      <c r="P47" s="205">
        <f t="shared" si="5"/>
        <v>343350</v>
      </c>
      <c r="S47" s="174">
        <f t="shared" si="2"/>
        <v>0</v>
      </c>
    </row>
    <row r="48" spans="1:19" s="78" customFormat="1" ht="37.5" customHeight="1">
      <c r="A48" s="211" t="s">
        <v>251</v>
      </c>
      <c r="B48" s="211" t="s">
        <v>174</v>
      </c>
      <c r="C48" s="186" t="s">
        <v>302</v>
      </c>
      <c r="D48" s="202" t="s">
        <v>175</v>
      </c>
      <c r="E48" s="205">
        <f t="shared" si="8"/>
        <v>7704770</v>
      </c>
      <c r="F48" s="167">
        <v>7704770</v>
      </c>
      <c r="G48" s="167">
        <v>5355932</v>
      </c>
      <c r="H48" s="167">
        <v>595593</v>
      </c>
      <c r="I48" s="167"/>
      <c r="J48" s="205">
        <f>L48+O48</f>
        <v>483070</v>
      </c>
      <c r="K48" s="205"/>
      <c r="L48" s="167">
        <v>483070</v>
      </c>
      <c r="M48" s="167"/>
      <c r="N48" s="167">
        <f>16310+64380+107300</f>
        <v>187990</v>
      </c>
      <c r="O48" s="205"/>
      <c r="P48" s="205">
        <f t="shared" si="5"/>
        <v>8187840</v>
      </c>
      <c r="S48" s="174">
        <f t="shared" si="2"/>
        <v>0</v>
      </c>
    </row>
    <row r="49" spans="1:19" s="78" customFormat="1" ht="37.5" customHeight="1">
      <c r="A49" s="211" t="s">
        <v>403</v>
      </c>
      <c r="B49" s="211" t="s">
        <v>401</v>
      </c>
      <c r="C49" s="203" t="s">
        <v>302</v>
      </c>
      <c r="D49" s="180" t="s">
        <v>404</v>
      </c>
      <c r="E49" s="205">
        <f t="shared" si="8"/>
        <v>390000</v>
      </c>
      <c r="F49" s="167">
        <v>390000</v>
      </c>
      <c r="G49" s="167"/>
      <c r="H49" s="167"/>
      <c r="I49" s="167"/>
      <c r="J49" s="205"/>
      <c r="K49" s="205"/>
      <c r="L49" s="167"/>
      <c r="M49" s="167"/>
      <c r="N49" s="167"/>
      <c r="O49" s="205"/>
      <c r="P49" s="205">
        <f t="shared" si="5"/>
        <v>390000</v>
      </c>
      <c r="S49" s="174">
        <f t="shared" si="2"/>
        <v>0</v>
      </c>
    </row>
    <row r="50" spans="1:19" s="84" customFormat="1" ht="31.5">
      <c r="A50" s="207" t="s">
        <v>179</v>
      </c>
      <c r="B50" s="207" t="s">
        <v>178</v>
      </c>
      <c r="C50" s="220"/>
      <c r="D50" s="196" t="s">
        <v>360</v>
      </c>
      <c r="E50" s="178">
        <f aca="true" t="shared" si="10" ref="E50:E64">F50+I50</f>
        <v>40516374</v>
      </c>
      <c r="F50" s="210">
        <f aca="true" t="shared" si="11" ref="F50:O50">F51</f>
        <v>40516374</v>
      </c>
      <c r="G50" s="210">
        <f t="shared" si="11"/>
        <v>11848462</v>
      </c>
      <c r="H50" s="210">
        <f t="shared" si="11"/>
        <v>223637</v>
      </c>
      <c r="I50" s="210">
        <f t="shared" si="11"/>
        <v>0</v>
      </c>
      <c r="J50" s="210">
        <f>J51</f>
        <v>115000</v>
      </c>
      <c r="K50" s="210">
        <f t="shared" si="11"/>
        <v>0</v>
      </c>
      <c r="L50" s="210">
        <f t="shared" si="11"/>
        <v>0</v>
      </c>
      <c r="M50" s="210">
        <f t="shared" si="11"/>
        <v>0</v>
      </c>
      <c r="N50" s="210">
        <f t="shared" si="11"/>
        <v>0</v>
      </c>
      <c r="O50" s="210">
        <f t="shared" si="11"/>
        <v>115000</v>
      </c>
      <c r="P50" s="210">
        <f t="shared" si="5"/>
        <v>40631374</v>
      </c>
      <c r="S50" s="174">
        <f t="shared" si="2"/>
        <v>115000</v>
      </c>
    </row>
    <row r="51" spans="1:19" s="84" customFormat="1" ht="31.5">
      <c r="A51" s="207" t="s">
        <v>180</v>
      </c>
      <c r="B51" s="207"/>
      <c r="C51" s="220"/>
      <c r="D51" s="179" t="s">
        <v>361</v>
      </c>
      <c r="E51" s="178">
        <f t="shared" si="10"/>
        <v>40516374</v>
      </c>
      <c r="F51" s="210">
        <f>SUM(F52:F60)</f>
        <v>40516374</v>
      </c>
      <c r="G51" s="210">
        <f>SUM(G52:G60)</f>
        <v>11848462</v>
      </c>
      <c r="H51" s="210">
        <f>SUM(H52:H60)</f>
        <v>223637</v>
      </c>
      <c r="I51" s="210">
        <f>SUM(I52:I60)</f>
        <v>0</v>
      </c>
      <c r="J51" s="210">
        <f>L51+O51</f>
        <v>115000</v>
      </c>
      <c r="K51" s="210">
        <f>SUM(K52:K60)</f>
        <v>0</v>
      </c>
      <c r="L51" s="210">
        <f>SUM(L52:L60)</f>
        <v>0</v>
      </c>
      <c r="M51" s="210">
        <f>SUM(M52:M60)</f>
        <v>0</v>
      </c>
      <c r="N51" s="210">
        <f>SUM(N52:N60)</f>
        <v>0</v>
      </c>
      <c r="O51" s="210">
        <f>SUM(O52:O60)</f>
        <v>115000</v>
      </c>
      <c r="P51" s="210">
        <f t="shared" si="5"/>
        <v>40631374</v>
      </c>
      <c r="S51" s="174">
        <f t="shared" si="2"/>
        <v>115000</v>
      </c>
    </row>
    <row r="52" spans="1:19" s="85" customFormat="1" ht="47.25">
      <c r="A52" s="221" t="s">
        <v>183</v>
      </c>
      <c r="B52" s="221" t="s">
        <v>182</v>
      </c>
      <c r="C52" s="222" t="s">
        <v>53</v>
      </c>
      <c r="D52" s="172" t="s">
        <v>395</v>
      </c>
      <c r="E52" s="167">
        <f t="shared" si="10"/>
        <v>13153903</v>
      </c>
      <c r="F52" s="167">
        <v>13153903</v>
      </c>
      <c r="G52" s="167">
        <v>9778853</v>
      </c>
      <c r="H52" s="167">
        <f>6000+109143+102494+6000</f>
        <v>223637</v>
      </c>
      <c r="I52" s="167"/>
      <c r="J52" s="205">
        <f>L52+O52</f>
        <v>0</v>
      </c>
      <c r="K52" s="205"/>
      <c r="L52" s="205"/>
      <c r="M52" s="205"/>
      <c r="N52" s="205"/>
      <c r="O52" s="205"/>
      <c r="P52" s="205">
        <f t="shared" si="5"/>
        <v>13153903</v>
      </c>
      <c r="S52" s="174">
        <f t="shared" si="2"/>
        <v>0</v>
      </c>
    </row>
    <row r="53" spans="1:19" s="85" customFormat="1" ht="27" customHeight="1">
      <c r="A53" s="211" t="s">
        <v>407</v>
      </c>
      <c r="B53" s="211" t="s">
        <v>406</v>
      </c>
      <c r="C53" s="203" t="s">
        <v>56</v>
      </c>
      <c r="D53" s="177" t="s">
        <v>408</v>
      </c>
      <c r="E53" s="167">
        <f t="shared" si="10"/>
        <v>350000</v>
      </c>
      <c r="F53" s="167">
        <v>350000</v>
      </c>
      <c r="G53" s="167"/>
      <c r="H53" s="167"/>
      <c r="I53" s="167"/>
      <c r="J53" s="205"/>
      <c r="K53" s="205"/>
      <c r="L53" s="205"/>
      <c r="M53" s="205"/>
      <c r="N53" s="205"/>
      <c r="O53" s="205"/>
      <c r="P53" s="205">
        <f t="shared" si="5"/>
        <v>350000</v>
      </c>
      <c r="S53" s="174">
        <f t="shared" si="2"/>
        <v>0</v>
      </c>
    </row>
    <row r="54" spans="1:19" s="81" customFormat="1" ht="37.5" customHeight="1">
      <c r="A54" s="211" t="s">
        <v>181</v>
      </c>
      <c r="B54" s="211" t="s">
        <v>84</v>
      </c>
      <c r="C54" s="186" t="s">
        <v>56</v>
      </c>
      <c r="D54" s="202" t="s">
        <v>45</v>
      </c>
      <c r="E54" s="167">
        <f t="shared" si="10"/>
        <v>8000000</v>
      </c>
      <c r="F54" s="167">
        <v>8000000</v>
      </c>
      <c r="G54" s="205"/>
      <c r="H54" s="205"/>
      <c r="I54" s="205"/>
      <c r="J54" s="205">
        <f>L54+O54</f>
        <v>0</v>
      </c>
      <c r="K54" s="205"/>
      <c r="L54" s="205"/>
      <c r="M54" s="205"/>
      <c r="N54" s="205"/>
      <c r="O54" s="205"/>
      <c r="P54" s="205">
        <f>E54+J54</f>
        <v>8000000</v>
      </c>
      <c r="S54" s="174">
        <f t="shared" si="2"/>
        <v>0</v>
      </c>
    </row>
    <row r="55" spans="1:19" s="281" customFormat="1" ht="48.75" customHeight="1">
      <c r="A55" s="286" t="s">
        <v>576</v>
      </c>
      <c r="B55" s="286" t="s">
        <v>578</v>
      </c>
      <c r="C55" s="186" t="s">
        <v>56</v>
      </c>
      <c r="D55" s="202" t="s">
        <v>579</v>
      </c>
      <c r="E55" s="167">
        <f t="shared" si="10"/>
        <v>1000000</v>
      </c>
      <c r="F55" s="167">
        <v>1000000</v>
      </c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S55" s="174">
        <f t="shared" si="2"/>
        <v>0</v>
      </c>
    </row>
    <row r="56" spans="1:19" s="81" customFormat="1" ht="47.25">
      <c r="A56" s="211" t="s">
        <v>421</v>
      </c>
      <c r="B56" s="211" t="s">
        <v>422</v>
      </c>
      <c r="C56" s="186" t="s">
        <v>60</v>
      </c>
      <c r="D56" s="202" t="s">
        <v>423</v>
      </c>
      <c r="E56" s="167">
        <f t="shared" si="10"/>
        <v>2461171</v>
      </c>
      <c r="F56" s="167">
        <v>2461171</v>
      </c>
      <c r="G56" s="205">
        <v>2007071</v>
      </c>
      <c r="H56" s="205"/>
      <c r="I56" s="205"/>
      <c r="J56" s="205"/>
      <c r="K56" s="205"/>
      <c r="L56" s="205"/>
      <c r="M56" s="205"/>
      <c r="N56" s="205"/>
      <c r="O56" s="205"/>
      <c r="P56" s="205">
        <f>E56+J56</f>
        <v>2461171</v>
      </c>
      <c r="S56" s="174">
        <f t="shared" si="2"/>
        <v>0</v>
      </c>
    </row>
    <row r="57" spans="1:19" s="81" customFormat="1" ht="63">
      <c r="A57" s="211" t="s">
        <v>184</v>
      </c>
      <c r="B57" s="211" t="s">
        <v>79</v>
      </c>
      <c r="C57" s="186" t="s">
        <v>58</v>
      </c>
      <c r="D57" s="202" t="s">
        <v>27</v>
      </c>
      <c r="E57" s="167">
        <f t="shared" si="10"/>
        <v>475000</v>
      </c>
      <c r="F57" s="167">
        <v>475000</v>
      </c>
      <c r="G57" s="167"/>
      <c r="H57" s="167"/>
      <c r="I57" s="167"/>
      <c r="J57" s="167"/>
      <c r="K57" s="167"/>
      <c r="L57" s="167"/>
      <c r="M57" s="167"/>
      <c r="N57" s="167"/>
      <c r="O57" s="167"/>
      <c r="P57" s="205">
        <f aca="true" t="shared" si="12" ref="P57:P101">E57+J57</f>
        <v>475000</v>
      </c>
      <c r="S57" s="174">
        <f t="shared" si="2"/>
        <v>0</v>
      </c>
    </row>
    <row r="58" spans="1:19" s="81" customFormat="1" ht="28.5" customHeight="1">
      <c r="A58" s="211" t="s">
        <v>26</v>
      </c>
      <c r="B58" s="211" t="s">
        <v>11</v>
      </c>
      <c r="C58" s="203" t="s">
        <v>37</v>
      </c>
      <c r="D58" s="202" t="s">
        <v>38</v>
      </c>
      <c r="E58" s="167">
        <f t="shared" si="10"/>
        <v>76300</v>
      </c>
      <c r="F58" s="167">
        <v>76300</v>
      </c>
      <c r="G58" s="205">
        <v>62538</v>
      </c>
      <c r="H58" s="205"/>
      <c r="I58" s="205"/>
      <c r="J58" s="205">
        <f>L58+O58</f>
        <v>0</v>
      </c>
      <c r="K58" s="205"/>
      <c r="L58" s="205"/>
      <c r="M58" s="205"/>
      <c r="N58" s="205"/>
      <c r="O58" s="205"/>
      <c r="P58" s="205">
        <f t="shared" si="12"/>
        <v>76300</v>
      </c>
      <c r="S58" s="174">
        <f t="shared" si="2"/>
        <v>0</v>
      </c>
    </row>
    <row r="59" spans="1:19" s="81" customFormat="1" ht="31.5" customHeight="1">
      <c r="A59" s="211" t="s">
        <v>28</v>
      </c>
      <c r="B59" s="211" t="s">
        <v>12</v>
      </c>
      <c r="C59" s="203" t="s">
        <v>59</v>
      </c>
      <c r="D59" s="224" t="s">
        <v>13</v>
      </c>
      <c r="E59" s="167">
        <f t="shared" si="10"/>
        <v>15000000</v>
      </c>
      <c r="F59" s="167">
        <v>15000000</v>
      </c>
      <c r="G59" s="167"/>
      <c r="H59" s="167"/>
      <c r="I59" s="167"/>
      <c r="J59" s="205">
        <f>L59+O59</f>
        <v>0</v>
      </c>
      <c r="K59" s="167"/>
      <c r="L59" s="167"/>
      <c r="M59" s="167"/>
      <c r="N59" s="167"/>
      <c r="O59" s="167"/>
      <c r="P59" s="205">
        <f t="shared" si="12"/>
        <v>15000000</v>
      </c>
      <c r="S59" s="174">
        <f t="shared" si="2"/>
        <v>0</v>
      </c>
    </row>
    <row r="60" spans="1:19" s="81" customFormat="1" ht="94.5">
      <c r="A60" s="211" t="s">
        <v>491</v>
      </c>
      <c r="B60" s="211" t="s">
        <v>14</v>
      </c>
      <c r="C60" s="212" t="s">
        <v>67</v>
      </c>
      <c r="D60" s="100" t="s">
        <v>291</v>
      </c>
      <c r="E60" s="167">
        <f>F60+I60</f>
        <v>0</v>
      </c>
      <c r="F60" s="167"/>
      <c r="G60" s="167"/>
      <c r="H60" s="167"/>
      <c r="I60" s="167"/>
      <c r="J60" s="205">
        <f>L60+O60</f>
        <v>115000</v>
      </c>
      <c r="K60" s="167"/>
      <c r="L60" s="167"/>
      <c r="M60" s="167"/>
      <c r="N60" s="167"/>
      <c r="O60" s="167">
        <v>115000</v>
      </c>
      <c r="P60" s="205">
        <f>E60+J60</f>
        <v>115000</v>
      </c>
      <c r="S60" s="174">
        <f t="shared" si="2"/>
        <v>115000</v>
      </c>
    </row>
    <row r="61" spans="1:19" s="71" customFormat="1" ht="31.5">
      <c r="A61" s="207" t="s">
        <v>44</v>
      </c>
      <c r="B61" s="207" t="s">
        <v>81</v>
      </c>
      <c r="C61" s="208"/>
      <c r="D61" s="209" t="s">
        <v>362</v>
      </c>
      <c r="E61" s="178">
        <f t="shared" si="10"/>
        <v>45806318</v>
      </c>
      <c r="F61" s="210">
        <f aca="true" t="shared" si="13" ref="F61:O61">F62</f>
        <v>45806318</v>
      </c>
      <c r="G61" s="210">
        <f t="shared" si="13"/>
        <v>32328234</v>
      </c>
      <c r="H61" s="210">
        <f t="shared" si="13"/>
        <v>2563202</v>
      </c>
      <c r="I61" s="210">
        <f t="shared" si="13"/>
        <v>0</v>
      </c>
      <c r="J61" s="210">
        <f t="shared" si="13"/>
        <v>12002400</v>
      </c>
      <c r="K61" s="210">
        <f t="shared" si="13"/>
        <v>90000</v>
      </c>
      <c r="L61" s="210">
        <f t="shared" si="13"/>
        <v>10987400</v>
      </c>
      <c r="M61" s="210">
        <f t="shared" si="13"/>
        <v>6132400</v>
      </c>
      <c r="N61" s="210">
        <f t="shared" si="13"/>
        <v>1035000</v>
      </c>
      <c r="O61" s="210">
        <f t="shared" si="13"/>
        <v>1015000</v>
      </c>
      <c r="P61" s="210">
        <f t="shared" si="12"/>
        <v>57808718</v>
      </c>
      <c r="S61" s="174">
        <f t="shared" si="2"/>
        <v>925000</v>
      </c>
    </row>
    <row r="62" spans="1:19" s="71" customFormat="1" ht="31.5">
      <c r="A62" s="207" t="s">
        <v>50</v>
      </c>
      <c r="B62" s="207"/>
      <c r="C62" s="208"/>
      <c r="D62" s="209" t="s">
        <v>363</v>
      </c>
      <c r="E62" s="178">
        <f t="shared" si="10"/>
        <v>45806318</v>
      </c>
      <c r="F62" s="210">
        <f>SUM(F63:F70)</f>
        <v>45806318</v>
      </c>
      <c r="G62" s="210">
        <f>SUM(G63:G70)</f>
        <v>32328234</v>
      </c>
      <c r="H62" s="210">
        <f>SUM(H63:H70)</f>
        <v>2563202</v>
      </c>
      <c r="I62" s="210">
        <f>SUM(I63:I70)</f>
        <v>0</v>
      </c>
      <c r="J62" s="210">
        <f>L62+O62</f>
        <v>12002400</v>
      </c>
      <c r="K62" s="210">
        <f>SUM(K63:K70)</f>
        <v>90000</v>
      </c>
      <c r="L62" s="210">
        <f>SUM(L63:L70)</f>
        <v>10987400</v>
      </c>
      <c r="M62" s="210">
        <f>SUM(M63:M70)</f>
        <v>6132400</v>
      </c>
      <c r="N62" s="210">
        <f>SUM(N63:N70)</f>
        <v>1035000</v>
      </c>
      <c r="O62" s="210">
        <f>SUM(O63:O70)</f>
        <v>1015000</v>
      </c>
      <c r="P62" s="210">
        <f t="shared" si="12"/>
        <v>57808718</v>
      </c>
      <c r="S62" s="174">
        <f t="shared" si="2"/>
        <v>925000</v>
      </c>
    </row>
    <row r="63" spans="1:19" s="71" customFormat="1" ht="52.5" customHeight="1">
      <c r="A63" s="211" t="s">
        <v>410</v>
      </c>
      <c r="B63" s="211" t="s">
        <v>182</v>
      </c>
      <c r="C63" s="203" t="s">
        <v>53</v>
      </c>
      <c r="D63" s="172" t="s">
        <v>395</v>
      </c>
      <c r="E63" s="167">
        <f t="shared" si="10"/>
        <v>1348616</v>
      </c>
      <c r="F63" s="205">
        <v>1348616</v>
      </c>
      <c r="G63" s="205">
        <v>1046935</v>
      </c>
      <c r="H63" s="210"/>
      <c r="I63" s="210"/>
      <c r="J63" s="205">
        <f>L63+O63</f>
        <v>0</v>
      </c>
      <c r="K63" s="210"/>
      <c r="L63" s="210"/>
      <c r="M63" s="210"/>
      <c r="N63" s="210"/>
      <c r="O63" s="210"/>
      <c r="P63" s="205">
        <f t="shared" si="12"/>
        <v>1348616</v>
      </c>
      <c r="S63" s="174">
        <f t="shared" si="2"/>
        <v>0</v>
      </c>
    </row>
    <row r="64" spans="1:19" ht="25.5" customHeight="1">
      <c r="A64" s="211" t="s">
        <v>204</v>
      </c>
      <c r="B64" s="211" t="s">
        <v>205</v>
      </c>
      <c r="C64" s="203" t="s">
        <v>64</v>
      </c>
      <c r="D64" s="180" t="s">
        <v>450</v>
      </c>
      <c r="E64" s="167">
        <f t="shared" si="10"/>
        <v>19747774</v>
      </c>
      <c r="F64" s="167">
        <v>19747774</v>
      </c>
      <c r="G64" s="167">
        <v>15502688</v>
      </c>
      <c r="H64" s="167">
        <v>361700</v>
      </c>
      <c r="I64" s="167"/>
      <c r="J64" s="205">
        <f>L64+O64</f>
        <v>1890000</v>
      </c>
      <c r="K64" s="205"/>
      <c r="L64" s="167">
        <v>1890000</v>
      </c>
      <c r="M64" s="167">
        <v>1475400</v>
      </c>
      <c r="N64" s="167"/>
      <c r="O64" s="205"/>
      <c r="P64" s="205">
        <f t="shared" si="12"/>
        <v>21637774</v>
      </c>
      <c r="S64" s="174">
        <f t="shared" si="2"/>
        <v>0</v>
      </c>
    </row>
    <row r="65" spans="1:19" ht="19.5" customHeight="1">
      <c r="A65" s="211" t="s">
        <v>206</v>
      </c>
      <c r="B65" s="211" t="s">
        <v>207</v>
      </c>
      <c r="C65" s="203" t="s">
        <v>208</v>
      </c>
      <c r="D65" s="213" t="s">
        <v>209</v>
      </c>
      <c r="E65" s="205">
        <f>F65</f>
        <v>8195077</v>
      </c>
      <c r="F65" s="205">
        <v>8195077</v>
      </c>
      <c r="G65" s="205">
        <v>6040146</v>
      </c>
      <c r="H65" s="205">
        <v>466705</v>
      </c>
      <c r="I65" s="205"/>
      <c r="J65" s="205">
        <f aca="true" t="shared" si="14" ref="J65:J90">L65+O65</f>
        <v>821200</v>
      </c>
      <c r="K65" s="205"/>
      <c r="L65" s="205">
        <v>821200</v>
      </c>
      <c r="M65" s="205">
        <v>300000</v>
      </c>
      <c r="N65" s="205">
        <v>45000</v>
      </c>
      <c r="O65" s="205"/>
      <c r="P65" s="205">
        <f t="shared" si="12"/>
        <v>9016277</v>
      </c>
      <c r="S65" s="174">
        <f t="shared" si="2"/>
        <v>0</v>
      </c>
    </row>
    <row r="66" spans="1:19" ht="20.25" customHeight="1">
      <c r="A66" s="211" t="s">
        <v>196</v>
      </c>
      <c r="B66" s="211" t="s">
        <v>197</v>
      </c>
      <c r="C66" s="203" t="s">
        <v>62</v>
      </c>
      <c r="D66" s="180" t="s">
        <v>198</v>
      </c>
      <c r="E66" s="167">
        <f>F66+I66</f>
        <v>4509078</v>
      </c>
      <c r="F66" s="167">
        <f>4549078-40000</f>
        <v>4509078</v>
      </c>
      <c r="G66" s="167">
        <v>3399152</v>
      </c>
      <c r="H66" s="167">
        <v>292658</v>
      </c>
      <c r="I66" s="167"/>
      <c r="J66" s="205">
        <f t="shared" si="14"/>
        <v>181000</v>
      </c>
      <c r="K66" s="205">
        <v>40000</v>
      </c>
      <c r="L66" s="167">
        <v>141000</v>
      </c>
      <c r="M66" s="167"/>
      <c r="N66" s="167">
        <v>75000</v>
      </c>
      <c r="O66" s="205">
        <v>40000</v>
      </c>
      <c r="P66" s="205">
        <f t="shared" si="12"/>
        <v>4690078</v>
      </c>
      <c r="S66" s="174">
        <f t="shared" si="2"/>
        <v>0</v>
      </c>
    </row>
    <row r="67" spans="1:19" ht="19.5" customHeight="1">
      <c r="A67" s="211" t="s">
        <v>199</v>
      </c>
      <c r="B67" s="211" t="s">
        <v>200</v>
      </c>
      <c r="C67" s="203" t="s">
        <v>62</v>
      </c>
      <c r="D67" s="180" t="s">
        <v>201</v>
      </c>
      <c r="E67" s="167">
        <f>F67+I67</f>
        <v>0</v>
      </c>
      <c r="F67" s="167"/>
      <c r="G67" s="167"/>
      <c r="H67" s="167"/>
      <c r="I67" s="167"/>
      <c r="J67" s="205">
        <f t="shared" si="14"/>
        <v>8600000</v>
      </c>
      <c r="K67" s="205"/>
      <c r="L67" s="167">
        <v>7675000</v>
      </c>
      <c r="M67" s="167">
        <v>4170000</v>
      </c>
      <c r="N67" s="167">
        <v>915000</v>
      </c>
      <c r="O67" s="205">
        <v>925000</v>
      </c>
      <c r="P67" s="205">
        <f t="shared" si="12"/>
        <v>8600000</v>
      </c>
      <c r="S67" s="174">
        <f t="shared" si="2"/>
        <v>925000</v>
      </c>
    </row>
    <row r="68" spans="1:19" ht="33.75" customHeight="1">
      <c r="A68" s="211" t="s">
        <v>202</v>
      </c>
      <c r="B68" s="211" t="s">
        <v>85</v>
      </c>
      <c r="C68" s="203" t="s">
        <v>63</v>
      </c>
      <c r="D68" s="180" t="s">
        <v>203</v>
      </c>
      <c r="E68" s="167">
        <f>F68+I68</f>
        <v>7922835</v>
      </c>
      <c r="F68" s="167">
        <v>7922835</v>
      </c>
      <c r="G68" s="167">
        <v>4687669</v>
      </c>
      <c r="H68" s="167">
        <v>1442139</v>
      </c>
      <c r="I68" s="167"/>
      <c r="J68" s="205">
        <f t="shared" si="14"/>
        <v>460200</v>
      </c>
      <c r="K68" s="205"/>
      <c r="L68" s="167">
        <v>460200</v>
      </c>
      <c r="M68" s="167">
        <v>187000</v>
      </c>
      <c r="N68" s="167"/>
      <c r="O68" s="205"/>
      <c r="P68" s="205">
        <f t="shared" si="12"/>
        <v>8383035</v>
      </c>
      <c r="S68" s="174">
        <f t="shared" si="2"/>
        <v>0</v>
      </c>
    </row>
    <row r="69" spans="1:19" ht="18.75" customHeight="1">
      <c r="A69" s="211" t="s">
        <v>16</v>
      </c>
      <c r="B69" s="211" t="s">
        <v>18</v>
      </c>
      <c r="C69" s="203" t="s">
        <v>65</v>
      </c>
      <c r="D69" s="225" t="s">
        <v>20</v>
      </c>
      <c r="E69" s="167">
        <f>F69+I69</f>
        <v>2132938</v>
      </c>
      <c r="F69" s="167">
        <v>2132938</v>
      </c>
      <c r="G69" s="167">
        <v>1651644</v>
      </c>
      <c r="H69" s="167"/>
      <c r="I69" s="167"/>
      <c r="J69" s="205">
        <f>L69+O69</f>
        <v>0</v>
      </c>
      <c r="K69" s="205"/>
      <c r="L69" s="167"/>
      <c r="M69" s="167"/>
      <c r="N69" s="167"/>
      <c r="O69" s="205"/>
      <c r="P69" s="205">
        <f t="shared" si="12"/>
        <v>2132938</v>
      </c>
      <c r="S69" s="174">
        <f t="shared" si="2"/>
        <v>0</v>
      </c>
    </row>
    <row r="70" spans="1:19" ht="18.75" customHeight="1">
      <c r="A70" s="211" t="s">
        <v>17</v>
      </c>
      <c r="B70" s="211" t="s">
        <v>19</v>
      </c>
      <c r="C70" s="203" t="s">
        <v>65</v>
      </c>
      <c r="D70" s="225" t="s">
        <v>21</v>
      </c>
      <c r="E70" s="167">
        <f>F70+I70</f>
        <v>1950000</v>
      </c>
      <c r="F70" s="167">
        <v>1950000</v>
      </c>
      <c r="G70" s="167"/>
      <c r="H70" s="167"/>
      <c r="I70" s="167"/>
      <c r="J70" s="205">
        <f t="shared" si="14"/>
        <v>50000</v>
      </c>
      <c r="K70" s="167">
        <v>50000</v>
      </c>
      <c r="L70" s="167"/>
      <c r="M70" s="167"/>
      <c r="N70" s="167"/>
      <c r="O70" s="167">
        <v>50000</v>
      </c>
      <c r="P70" s="205">
        <f t="shared" si="12"/>
        <v>2000000</v>
      </c>
      <c r="S70" s="174">
        <f t="shared" si="2"/>
        <v>0</v>
      </c>
    </row>
    <row r="71" spans="1:19" s="71" customFormat="1" ht="34.5" customHeight="1">
      <c r="A71" s="207" t="s">
        <v>227</v>
      </c>
      <c r="B71" s="207" t="s">
        <v>226</v>
      </c>
      <c r="C71" s="208"/>
      <c r="D71" s="209" t="s">
        <v>364</v>
      </c>
      <c r="E71" s="210">
        <f>E72</f>
        <v>110488839</v>
      </c>
      <c r="F71" s="210">
        <f aca="true" t="shared" si="15" ref="F71:O71">F72</f>
        <v>18603840</v>
      </c>
      <c r="G71" s="210">
        <f t="shared" si="15"/>
        <v>7014673</v>
      </c>
      <c r="H71" s="210">
        <f t="shared" si="15"/>
        <v>149970</v>
      </c>
      <c r="I71" s="210">
        <f t="shared" si="15"/>
        <v>91884999</v>
      </c>
      <c r="J71" s="178">
        <f t="shared" si="14"/>
        <v>60639267</v>
      </c>
      <c r="K71" s="210">
        <f t="shared" si="15"/>
        <v>59439527</v>
      </c>
      <c r="L71" s="210">
        <f t="shared" si="15"/>
        <v>961640</v>
      </c>
      <c r="M71" s="210">
        <f t="shared" si="15"/>
        <v>495000</v>
      </c>
      <c r="N71" s="210">
        <f t="shared" si="15"/>
        <v>0</v>
      </c>
      <c r="O71" s="210">
        <f t="shared" si="15"/>
        <v>59677627</v>
      </c>
      <c r="P71" s="210">
        <f t="shared" si="12"/>
        <v>171128106</v>
      </c>
      <c r="S71" s="174">
        <f t="shared" si="2"/>
        <v>238100</v>
      </c>
    </row>
    <row r="72" spans="1:19" s="71" customFormat="1" ht="37.5" customHeight="1">
      <c r="A72" s="207" t="s">
        <v>228</v>
      </c>
      <c r="B72" s="207"/>
      <c r="C72" s="208"/>
      <c r="D72" s="209" t="s">
        <v>365</v>
      </c>
      <c r="E72" s="210">
        <f>F72+I72</f>
        <v>110488839</v>
      </c>
      <c r="F72" s="210">
        <f>SUM(F73:F90)</f>
        <v>18603840</v>
      </c>
      <c r="G72" s="210">
        <f>SUM(G73:G90)</f>
        <v>7014673</v>
      </c>
      <c r="H72" s="210">
        <f>SUM(H73:H90)</f>
        <v>149970</v>
      </c>
      <c r="I72" s="210">
        <f>SUM(I73:I90)</f>
        <v>91884999</v>
      </c>
      <c r="J72" s="178">
        <f t="shared" si="14"/>
        <v>60639267</v>
      </c>
      <c r="K72" s="210">
        <f>SUM(K73:K90)</f>
        <v>59439527</v>
      </c>
      <c r="L72" s="210">
        <f>SUM(L73:L90)</f>
        <v>961640</v>
      </c>
      <c r="M72" s="210">
        <f>SUM(M73:M90)</f>
        <v>495000</v>
      </c>
      <c r="N72" s="210">
        <f>SUM(N73:N90)</f>
        <v>0</v>
      </c>
      <c r="O72" s="210">
        <f>SUM(O73:O90)</f>
        <v>59677627</v>
      </c>
      <c r="P72" s="210">
        <f t="shared" si="12"/>
        <v>171128106</v>
      </c>
      <c r="S72" s="174">
        <f t="shared" si="2"/>
        <v>238100</v>
      </c>
    </row>
    <row r="73" spans="1:19" s="101" customFormat="1" ht="47.25" customHeight="1">
      <c r="A73" s="393" t="s">
        <v>229</v>
      </c>
      <c r="B73" s="393" t="s">
        <v>182</v>
      </c>
      <c r="C73" s="287" t="s">
        <v>53</v>
      </c>
      <c r="D73" s="302" t="s">
        <v>395</v>
      </c>
      <c r="E73" s="167">
        <f>F73+I73</f>
        <v>9034086</v>
      </c>
      <c r="F73" s="167">
        <f>6029355+3572665-465520-102414</f>
        <v>9034086</v>
      </c>
      <c r="G73" s="167">
        <f>4687078+2793115-465520</f>
        <v>7014673</v>
      </c>
      <c r="H73" s="167">
        <f>89420+60550</f>
        <v>149970</v>
      </c>
      <c r="I73" s="167"/>
      <c r="J73" s="167">
        <f t="shared" si="14"/>
        <v>779140</v>
      </c>
      <c r="K73" s="167"/>
      <c r="L73" s="167">
        <v>761640</v>
      </c>
      <c r="M73" s="167">
        <v>495000</v>
      </c>
      <c r="N73" s="167"/>
      <c r="O73" s="167">
        <v>17500</v>
      </c>
      <c r="P73" s="205">
        <f t="shared" si="12"/>
        <v>9813226</v>
      </c>
      <c r="S73" s="174">
        <f t="shared" si="2"/>
        <v>17500</v>
      </c>
    </row>
    <row r="74" spans="1:19" s="281" customFormat="1" ht="15.75">
      <c r="A74" s="286" t="s">
        <v>619</v>
      </c>
      <c r="B74" s="286" t="s">
        <v>70</v>
      </c>
      <c r="C74" s="287" t="s">
        <v>61</v>
      </c>
      <c r="D74" s="202" t="s">
        <v>192</v>
      </c>
      <c r="E74" s="167">
        <f>F74+I74</f>
        <v>100000</v>
      </c>
      <c r="F74" s="167">
        <v>100000</v>
      </c>
      <c r="G74" s="167"/>
      <c r="H74" s="167"/>
      <c r="I74" s="167"/>
      <c r="J74" s="167">
        <f>L74+O74</f>
        <v>0</v>
      </c>
      <c r="K74" s="167"/>
      <c r="L74" s="167"/>
      <c r="M74" s="167"/>
      <c r="N74" s="167"/>
      <c r="O74" s="167"/>
      <c r="P74" s="205">
        <f>E74+J74</f>
        <v>100000</v>
      </c>
      <c r="S74" s="174">
        <f t="shared" si="2"/>
        <v>0</v>
      </c>
    </row>
    <row r="75" spans="1:19" s="9" customFormat="1" ht="29.25" customHeight="1">
      <c r="A75" s="211" t="s">
        <v>25</v>
      </c>
      <c r="B75" s="211" t="s">
        <v>11</v>
      </c>
      <c r="C75" s="203" t="s">
        <v>37</v>
      </c>
      <c r="D75" s="202" t="s">
        <v>38</v>
      </c>
      <c r="E75" s="205">
        <f>F75+I75</f>
        <v>80000</v>
      </c>
      <c r="F75" s="205">
        <f>30000+50000</f>
        <v>80000</v>
      </c>
      <c r="G75" s="205"/>
      <c r="H75" s="205"/>
      <c r="I75" s="205"/>
      <c r="J75" s="205">
        <f t="shared" si="14"/>
        <v>0</v>
      </c>
      <c r="K75" s="205"/>
      <c r="L75" s="205"/>
      <c r="M75" s="205"/>
      <c r="N75" s="205"/>
      <c r="O75" s="205"/>
      <c r="P75" s="205">
        <f t="shared" si="12"/>
        <v>80000</v>
      </c>
      <c r="S75" s="174">
        <f t="shared" si="2"/>
        <v>0</v>
      </c>
    </row>
    <row r="76" spans="1:19" s="281" customFormat="1" ht="29.25" customHeight="1">
      <c r="A76" s="286" t="s">
        <v>246</v>
      </c>
      <c r="B76" s="286" t="s">
        <v>247</v>
      </c>
      <c r="C76" s="176" t="s">
        <v>66</v>
      </c>
      <c r="D76" s="177" t="s">
        <v>248</v>
      </c>
      <c r="E76" s="205">
        <f aca="true" t="shared" si="16" ref="E76:E97">F76+I76</f>
        <v>3120000</v>
      </c>
      <c r="F76" s="205"/>
      <c r="G76" s="205"/>
      <c r="H76" s="205"/>
      <c r="I76" s="205">
        <f>1520000+1600000</f>
        <v>3120000</v>
      </c>
      <c r="J76" s="167">
        <f t="shared" si="14"/>
        <v>8880000</v>
      </c>
      <c r="K76" s="205">
        <v>8880000</v>
      </c>
      <c r="L76" s="205"/>
      <c r="M76" s="205"/>
      <c r="N76" s="205"/>
      <c r="O76" s="205">
        <v>8880000</v>
      </c>
      <c r="P76" s="205">
        <f>E76+J76</f>
        <v>12000000</v>
      </c>
      <c r="S76" s="174">
        <f aca="true" t="shared" si="17" ref="S76:S110">O76-K76</f>
        <v>0</v>
      </c>
    </row>
    <row r="77" spans="1:19" s="281" customFormat="1" ht="26.25" customHeight="1">
      <c r="A77" s="286" t="s">
        <v>237</v>
      </c>
      <c r="B77" s="286" t="s">
        <v>86</v>
      </c>
      <c r="C77" s="287" t="s">
        <v>66</v>
      </c>
      <c r="D77" s="201" t="s">
        <v>238</v>
      </c>
      <c r="E77" s="205">
        <f t="shared" si="16"/>
        <v>85525819</v>
      </c>
      <c r="F77" s="167">
        <v>1560820</v>
      </c>
      <c r="G77" s="167"/>
      <c r="H77" s="167"/>
      <c r="I77" s="167">
        <f>82464999+1200000+300000</f>
        <v>83964999</v>
      </c>
      <c r="J77" s="167">
        <f t="shared" si="14"/>
        <v>12104086</v>
      </c>
      <c r="K77" s="205">
        <f>10000000+2453986-349900</f>
        <v>12104086</v>
      </c>
      <c r="L77" s="167"/>
      <c r="M77" s="167"/>
      <c r="N77" s="167"/>
      <c r="O77" s="205">
        <f>12453986-349900</f>
        <v>12104086</v>
      </c>
      <c r="P77" s="205">
        <f t="shared" si="12"/>
        <v>97629905</v>
      </c>
      <c r="S77" s="174">
        <f t="shared" si="17"/>
        <v>0</v>
      </c>
    </row>
    <row r="78" spans="1:19" s="281" customFormat="1" ht="90" customHeight="1">
      <c r="A78" s="286" t="s">
        <v>260</v>
      </c>
      <c r="B78" s="286" t="s">
        <v>261</v>
      </c>
      <c r="C78" s="287" t="s">
        <v>258</v>
      </c>
      <c r="D78" s="201" t="s">
        <v>262</v>
      </c>
      <c r="E78" s="205">
        <f t="shared" si="16"/>
        <v>1200000</v>
      </c>
      <c r="F78" s="167"/>
      <c r="G78" s="167"/>
      <c r="H78" s="167"/>
      <c r="I78" s="167">
        <v>1200000</v>
      </c>
      <c r="J78" s="167">
        <f t="shared" si="14"/>
        <v>0</v>
      </c>
      <c r="K78" s="205"/>
      <c r="L78" s="167"/>
      <c r="M78" s="167"/>
      <c r="N78" s="167"/>
      <c r="O78" s="205"/>
      <c r="P78" s="205">
        <f t="shared" si="12"/>
        <v>1200000</v>
      </c>
      <c r="S78" s="174">
        <f t="shared" si="17"/>
        <v>0</v>
      </c>
    </row>
    <row r="79" spans="1:19" s="281" customFormat="1" ht="32.25" customHeight="1">
      <c r="A79" s="286" t="s">
        <v>255</v>
      </c>
      <c r="B79" s="286" t="s">
        <v>256</v>
      </c>
      <c r="C79" s="287" t="s">
        <v>258</v>
      </c>
      <c r="D79" s="201" t="s">
        <v>257</v>
      </c>
      <c r="E79" s="205">
        <f>F79+I79</f>
        <v>2500000</v>
      </c>
      <c r="F79" s="167">
        <v>500000</v>
      </c>
      <c r="G79" s="167"/>
      <c r="H79" s="167"/>
      <c r="I79" s="167">
        <f>2000000</f>
        <v>2000000</v>
      </c>
      <c r="J79" s="167">
        <f t="shared" si="14"/>
        <v>5101800</v>
      </c>
      <c r="K79" s="205">
        <v>5101800</v>
      </c>
      <c r="L79" s="167"/>
      <c r="M79" s="167"/>
      <c r="N79" s="167"/>
      <c r="O79" s="205">
        <v>5101800</v>
      </c>
      <c r="P79" s="205">
        <f t="shared" si="12"/>
        <v>7601800</v>
      </c>
      <c r="S79" s="174">
        <f t="shared" si="17"/>
        <v>0</v>
      </c>
    </row>
    <row r="80" spans="1:19" s="281" customFormat="1" ht="32.25" customHeight="1">
      <c r="A80" s="332" t="s">
        <v>463</v>
      </c>
      <c r="B80" s="333" t="s">
        <v>9</v>
      </c>
      <c r="C80" s="333" t="s">
        <v>298</v>
      </c>
      <c r="D80" s="334" t="s">
        <v>10</v>
      </c>
      <c r="E80" s="205">
        <f>F80+I80</f>
        <v>700000</v>
      </c>
      <c r="F80" s="167">
        <f>200000+500000</f>
        <v>700000</v>
      </c>
      <c r="G80" s="167"/>
      <c r="H80" s="167"/>
      <c r="I80" s="167"/>
      <c r="J80" s="167">
        <f t="shared" si="14"/>
        <v>0</v>
      </c>
      <c r="K80" s="205"/>
      <c r="L80" s="167"/>
      <c r="M80" s="167"/>
      <c r="N80" s="167"/>
      <c r="O80" s="205"/>
      <c r="P80" s="205">
        <f t="shared" si="12"/>
        <v>700000</v>
      </c>
      <c r="S80" s="174">
        <f t="shared" si="17"/>
        <v>0</v>
      </c>
    </row>
    <row r="81" spans="1:19" s="281" customFormat="1" ht="28.5" customHeight="1">
      <c r="A81" s="212" t="s">
        <v>4</v>
      </c>
      <c r="B81" s="212" t="s">
        <v>263</v>
      </c>
      <c r="C81" s="336" t="s">
        <v>235</v>
      </c>
      <c r="D81" s="177" t="s">
        <v>297</v>
      </c>
      <c r="E81" s="205">
        <f>F81+I81</f>
        <v>0</v>
      </c>
      <c r="F81" s="167"/>
      <c r="G81" s="167"/>
      <c r="H81" s="167"/>
      <c r="I81" s="167"/>
      <c r="J81" s="167">
        <f t="shared" si="14"/>
        <v>14091937</v>
      </c>
      <c r="K81" s="205">
        <f>7416491+5584322+291124+800000</f>
        <v>14091937</v>
      </c>
      <c r="L81" s="167"/>
      <c r="M81" s="167"/>
      <c r="N81" s="167"/>
      <c r="O81" s="205">
        <f>7416491+5584322+291124+800000</f>
        <v>14091937</v>
      </c>
      <c r="P81" s="205">
        <f t="shared" si="12"/>
        <v>14091937</v>
      </c>
      <c r="S81" s="174">
        <f t="shared" si="17"/>
        <v>0</v>
      </c>
    </row>
    <row r="82" spans="1:19" s="281" customFormat="1" ht="42.75" customHeight="1">
      <c r="A82" s="286" t="s">
        <v>322</v>
      </c>
      <c r="B82" s="287" t="s">
        <v>268</v>
      </c>
      <c r="C82" s="287" t="s">
        <v>235</v>
      </c>
      <c r="D82" s="259" t="s">
        <v>449</v>
      </c>
      <c r="E82" s="205"/>
      <c r="F82" s="167"/>
      <c r="G82" s="167"/>
      <c r="H82" s="167"/>
      <c r="I82" s="167"/>
      <c r="J82" s="167">
        <f>L82+O82</f>
        <v>2673510</v>
      </c>
      <c r="K82" s="205">
        <f>1653510+1000000+14992400+407600+20000-800000-14600000</f>
        <v>2673510</v>
      </c>
      <c r="L82" s="167"/>
      <c r="M82" s="167"/>
      <c r="N82" s="167"/>
      <c r="O82" s="205">
        <f>1653510+1000000+14992400+407600+20000-800000-14600000</f>
        <v>2673510</v>
      </c>
      <c r="P82" s="205">
        <f t="shared" si="12"/>
        <v>2673510</v>
      </c>
      <c r="S82" s="174">
        <f t="shared" si="17"/>
        <v>0</v>
      </c>
    </row>
    <row r="83" spans="1:19" s="281" customFormat="1" ht="31.5">
      <c r="A83" s="286" t="s">
        <v>618</v>
      </c>
      <c r="B83" s="212" t="s">
        <v>234</v>
      </c>
      <c r="C83" s="212" t="s">
        <v>235</v>
      </c>
      <c r="D83" s="170" t="s">
        <v>236</v>
      </c>
      <c r="E83" s="167">
        <f>F83+I83</f>
        <v>0</v>
      </c>
      <c r="F83" s="167"/>
      <c r="G83" s="167"/>
      <c r="H83" s="167"/>
      <c r="I83" s="167"/>
      <c r="J83" s="167">
        <f>L83+O83</f>
        <v>1000000</v>
      </c>
      <c r="K83" s="167">
        <v>1000000</v>
      </c>
      <c r="L83" s="167"/>
      <c r="M83" s="167"/>
      <c r="N83" s="167"/>
      <c r="O83" s="167">
        <v>1000000</v>
      </c>
      <c r="P83" s="205">
        <f>E83+J83</f>
        <v>1000000</v>
      </c>
      <c r="S83" s="174">
        <f t="shared" si="17"/>
        <v>0</v>
      </c>
    </row>
    <row r="84" spans="1:19" s="281" customFormat="1" ht="31.5">
      <c r="A84" s="286" t="s">
        <v>5</v>
      </c>
      <c r="B84" s="286" t="s">
        <v>6</v>
      </c>
      <c r="C84" s="176" t="s">
        <v>7</v>
      </c>
      <c r="D84" s="302" t="s">
        <v>8</v>
      </c>
      <c r="E84" s="205">
        <f t="shared" si="16"/>
        <v>6628934</v>
      </c>
      <c r="F84" s="167">
        <f>6085534+943400+900000-1000000-300000</f>
        <v>6628934</v>
      </c>
      <c r="G84" s="167"/>
      <c r="H84" s="167"/>
      <c r="I84" s="167"/>
      <c r="J84" s="167">
        <f t="shared" si="14"/>
        <v>3288194</v>
      </c>
      <c r="K84" s="205">
        <f>2988194+300000</f>
        <v>3288194</v>
      </c>
      <c r="L84" s="167"/>
      <c r="M84" s="167"/>
      <c r="N84" s="167"/>
      <c r="O84" s="205">
        <f>2988194+300000</f>
        <v>3288194</v>
      </c>
      <c r="P84" s="205">
        <f t="shared" si="12"/>
        <v>9917128</v>
      </c>
      <c r="S84" s="174">
        <f t="shared" si="17"/>
        <v>0</v>
      </c>
    </row>
    <row r="85" spans="1:19" s="281" customFormat="1" ht="18" customHeight="1">
      <c r="A85" s="286" t="s">
        <v>259</v>
      </c>
      <c r="B85" s="286" t="s">
        <v>230</v>
      </c>
      <c r="C85" s="287" t="s">
        <v>88</v>
      </c>
      <c r="D85" s="184" t="s">
        <v>176</v>
      </c>
      <c r="E85" s="205">
        <f>F85+I85</f>
        <v>0</v>
      </c>
      <c r="F85" s="205"/>
      <c r="G85" s="205"/>
      <c r="H85" s="205"/>
      <c r="I85" s="205"/>
      <c r="J85" s="167">
        <f t="shared" si="14"/>
        <v>12000000</v>
      </c>
      <c r="K85" s="205">
        <v>12000000</v>
      </c>
      <c r="L85" s="205"/>
      <c r="M85" s="205"/>
      <c r="N85" s="205"/>
      <c r="O85" s="205">
        <v>12000000</v>
      </c>
      <c r="P85" s="205">
        <f t="shared" si="12"/>
        <v>12000000</v>
      </c>
      <c r="S85" s="174">
        <f t="shared" si="17"/>
        <v>0</v>
      </c>
    </row>
    <row r="86" spans="1:19" s="281" customFormat="1" ht="31.5">
      <c r="A86" s="393" t="s">
        <v>616</v>
      </c>
      <c r="B86" s="394" t="s">
        <v>271</v>
      </c>
      <c r="C86" s="287" t="s">
        <v>67</v>
      </c>
      <c r="D86" s="202" t="s">
        <v>273</v>
      </c>
      <c r="E86" s="167">
        <f>F86+I86</f>
        <v>0</v>
      </c>
      <c r="F86" s="167"/>
      <c r="G86" s="167"/>
      <c r="H86" s="167"/>
      <c r="I86" s="167"/>
      <c r="J86" s="167">
        <f t="shared" si="14"/>
        <v>300000</v>
      </c>
      <c r="K86" s="167">
        <v>300000</v>
      </c>
      <c r="L86" s="167"/>
      <c r="M86" s="167"/>
      <c r="N86" s="167"/>
      <c r="O86" s="167">
        <v>300000</v>
      </c>
      <c r="P86" s="205">
        <f>E86+J86</f>
        <v>300000</v>
      </c>
      <c r="S86" s="174">
        <f t="shared" si="17"/>
        <v>0</v>
      </c>
    </row>
    <row r="87" spans="1:19" s="281" customFormat="1" ht="32.25" customHeight="1">
      <c r="A87" s="286" t="s">
        <v>239</v>
      </c>
      <c r="B87" s="286" t="s">
        <v>240</v>
      </c>
      <c r="C87" s="287" t="s">
        <v>67</v>
      </c>
      <c r="D87" s="183" t="s">
        <v>241</v>
      </c>
      <c r="E87" s="205">
        <f t="shared" si="16"/>
        <v>1600000</v>
      </c>
      <c r="F87" s="205"/>
      <c r="G87" s="205"/>
      <c r="H87" s="205"/>
      <c r="I87" s="205">
        <f>1600000</f>
        <v>1600000</v>
      </c>
      <c r="J87" s="167">
        <f t="shared" si="14"/>
        <v>0</v>
      </c>
      <c r="K87" s="205"/>
      <c r="L87" s="205"/>
      <c r="M87" s="205"/>
      <c r="N87" s="205"/>
      <c r="O87" s="205"/>
      <c r="P87" s="205">
        <f t="shared" si="12"/>
        <v>1600000</v>
      </c>
      <c r="S87" s="174">
        <f t="shared" si="17"/>
        <v>0</v>
      </c>
    </row>
    <row r="88" spans="1:19" s="281" customFormat="1" ht="15.75">
      <c r="A88" s="393" t="s">
        <v>612</v>
      </c>
      <c r="B88" s="175">
        <v>8311</v>
      </c>
      <c r="C88" s="393" t="s">
        <v>411</v>
      </c>
      <c r="D88" s="177" t="s">
        <v>412</v>
      </c>
      <c r="E88" s="167">
        <f t="shared" si="16"/>
        <v>0</v>
      </c>
      <c r="F88" s="167"/>
      <c r="G88" s="167"/>
      <c r="H88" s="167"/>
      <c r="I88" s="167"/>
      <c r="J88" s="167">
        <f t="shared" si="14"/>
        <v>200000</v>
      </c>
      <c r="K88" s="167"/>
      <c r="L88" s="167">
        <v>200000</v>
      </c>
      <c r="M88" s="167"/>
      <c r="N88" s="167"/>
      <c r="O88" s="167"/>
      <c r="P88" s="205">
        <f t="shared" si="12"/>
        <v>200000</v>
      </c>
      <c r="S88" s="174">
        <f t="shared" si="17"/>
        <v>0</v>
      </c>
    </row>
    <row r="89" spans="1:19" s="281" customFormat="1" ht="27" customHeight="1">
      <c r="A89" s="286" t="s">
        <v>243</v>
      </c>
      <c r="B89" s="286" t="s">
        <v>242</v>
      </c>
      <c r="C89" s="287" t="s">
        <v>244</v>
      </c>
      <c r="D89" s="201" t="s">
        <v>245</v>
      </c>
      <c r="E89" s="205">
        <f t="shared" si="16"/>
        <v>0</v>
      </c>
      <c r="F89" s="205"/>
      <c r="G89" s="205"/>
      <c r="H89" s="205"/>
      <c r="I89" s="205"/>
      <c r="J89" s="167">
        <f t="shared" si="14"/>
        <v>160600</v>
      </c>
      <c r="K89" s="205"/>
      <c r="L89" s="205"/>
      <c r="M89" s="205"/>
      <c r="N89" s="205"/>
      <c r="O89" s="205">
        <v>160600</v>
      </c>
      <c r="P89" s="205">
        <f t="shared" si="12"/>
        <v>160600</v>
      </c>
      <c r="S89" s="174">
        <f t="shared" si="17"/>
        <v>160600</v>
      </c>
    </row>
    <row r="90" spans="1:19" s="281" customFormat="1" ht="94.5">
      <c r="A90" s="393" t="s">
        <v>617</v>
      </c>
      <c r="B90" s="393" t="s">
        <v>14</v>
      </c>
      <c r="C90" s="394" t="s">
        <v>67</v>
      </c>
      <c r="D90" s="100" t="s">
        <v>291</v>
      </c>
      <c r="E90" s="167"/>
      <c r="F90" s="167"/>
      <c r="G90" s="167"/>
      <c r="H90" s="167"/>
      <c r="I90" s="167"/>
      <c r="J90" s="167">
        <f t="shared" si="14"/>
        <v>60000</v>
      </c>
      <c r="K90" s="167"/>
      <c r="L90" s="167"/>
      <c r="M90" s="167"/>
      <c r="N90" s="167"/>
      <c r="O90" s="167">
        <v>60000</v>
      </c>
      <c r="P90" s="205">
        <f>E90+J90</f>
        <v>60000</v>
      </c>
      <c r="S90" s="174">
        <f t="shared" si="17"/>
        <v>60000</v>
      </c>
    </row>
    <row r="91" spans="1:19" s="280" customFormat="1" ht="31.5">
      <c r="A91" s="207" t="s">
        <v>46</v>
      </c>
      <c r="B91" s="207" t="s">
        <v>83</v>
      </c>
      <c r="C91" s="208"/>
      <c r="D91" s="206" t="s">
        <v>610</v>
      </c>
      <c r="E91" s="210">
        <f t="shared" si="16"/>
        <v>1751214</v>
      </c>
      <c r="F91" s="210">
        <f aca="true" t="shared" si="18" ref="F91:O91">F92</f>
        <v>1751214</v>
      </c>
      <c r="G91" s="210">
        <f t="shared" si="18"/>
        <v>1436561</v>
      </c>
      <c r="H91" s="210">
        <f t="shared" si="18"/>
        <v>26700</v>
      </c>
      <c r="I91" s="210">
        <f t="shared" si="18"/>
        <v>0</v>
      </c>
      <c r="J91" s="210">
        <f t="shared" si="18"/>
        <v>79083680</v>
      </c>
      <c r="K91" s="210">
        <f t="shared" si="18"/>
        <v>77967450</v>
      </c>
      <c r="L91" s="210">
        <f t="shared" si="18"/>
        <v>1116230</v>
      </c>
      <c r="M91" s="210">
        <f t="shared" si="18"/>
        <v>591540</v>
      </c>
      <c r="N91" s="210">
        <f t="shared" si="18"/>
        <v>1000</v>
      </c>
      <c r="O91" s="210">
        <f t="shared" si="18"/>
        <v>77967450</v>
      </c>
      <c r="P91" s="210">
        <f t="shared" si="12"/>
        <v>80834894</v>
      </c>
      <c r="S91" s="174">
        <f t="shared" si="17"/>
        <v>0</v>
      </c>
    </row>
    <row r="92" spans="1:19" s="280" customFormat="1" ht="31.5">
      <c r="A92" s="207" t="s">
        <v>55</v>
      </c>
      <c r="B92" s="207"/>
      <c r="C92" s="208"/>
      <c r="D92" s="206" t="s">
        <v>611</v>
      </c>
      <c r="E92" s="210">
        <f>SUM(E93:E99)</f>
        <v>1751214</v>
      </c>
      <c r="F92" s="210">
        <f>SUM(F93:F99)</f>
        <v>1751214</v>
      </c>
      <c r="G92" s="210">
        <f aca="true" t="shared" si="19" ref="G92:N92">SUM(G93:G99)</f>
        <v>1436561</v>
      </c>
      <c r="H92" s="210">
        <f t="shared" si="19"/>
        <v>26700</v>
      </c>
      <c r="I92" s="210">
        <f t="shared" si="19"/>
        <v>0</v>
      </c>
      <c r="J92" s="210">
        <f>SUM(J93:J99)</f>
        <v>79083680</v>
      </c>
      <c r="K92" s="210">
        <f>SUM(K93:K99)</f>
        <v>77967450</v>
      </c>
      <c r="L92" s="210">
        <f t="shared" si="19"/>
        <v>1116230</v>
      </c>
      <c r="M92" s="210">
        <f t="shared" si="19"/>
        <v>591540</v>
      </c>
      <c r="N92" s="210">
        <f t="shared" si="19"/>
        <v>1000</v>
      </c>
      <c r="O92" s="210">
        <f>SUM(O93:O99)</f>
        <v>77967450</v>
      </c>
      <c r="P92" s="210">
        <f t="shared" si="12"/>
        <v>80834894</v>
      </c>
      <c r="S92" s="174">
        <f t="shared" si="17"/>
        <v>0</v>
      </c>
    </row>
    <row r="93" spans="1:19" s="281" customFormat="1" ht="47.25">
      <c r="A93" s="286" t="s">
        <v>185</v>
      </c>
      <c r="B93" s="286" t="s">
        <v>182</v>
      </c>
      <c r="C93" s="287" t="s">
        <v>53</v>
      </c>
      <c r="D93" s="309" t="s">
        <v>395</v>
      </c>
      <c r="E93" s="167">
        <f t="shared" si="16"/>
        <v>1751214</v>
      </c>
      <c r="F93" s="167">
        <v>1751214</v>
      </c>
      <c r="G93" s="167">
        <v>1436561</v>
      </c>
      <c r="H93" s="167">
        <f>1700+16000+9000</f>
        <v>26700</v>
      </c>
      <c r="I93" s="167"/>
      <c r="J93" s="205">
        <f aca="true" t="shared" si="20" ref="J93:J99">L93+O93</f>
        <v>1116230</v>
      </c>
      <c r="K93" s="205"/>
      <c r="L93" s="167">
        <v>1116230</v>
      </c>
      <c r="M93" s="167">
        <v>591540</v>
      </c>
      <c r="N93" s="205">
        <v>1000</v>
      </c>
      <c r="O93" s="205"/>
      <c r="P93" s="205">
        <f t="shared" si="12"/>
        <v>2867444</v>
      </c>
      <c r="S93" s="174">
        <f t="shared" si="17"/>
        <v>0</v>
      </c>
    </row>
    <row r="94" spans="1:19" s="281" customFormat="1" ht="15.75">
      <c r="A94" s="393" t="s">
        <v>609</v>
      </c>
      <c r="B94" s="393" t="s">
        <v>86</v>
      </c>
      <c r="C94" s="287" t="s">
        <v>66</v>
      </c>
      <c r="D94" s="201" t="s">
        <v>238</v>
      </c>
      <c r="E94" s="167">
        <f>F94+I94</f>
        <v>0</v>
      </c>
      <c r="F94" s="167"/>
      <c r="G94" s="167"/>
      <c r="H94" s="167"/>
      <c r="I94" s="167"/>
      <c r="J94" s="205">
        <f>L94+O94</f>
        <v>349900</v>
      </c>
      <c r="K94" s="205">
        <v>349900</v>
      </c>
      <c r="L94" s="167"/>
      <c r="M94" s="167"/>
      <c r="N94" s="205"/>
      <c r="O94" s="205">
        <v>349900</v>
      </c>
      <c r="P94" s="205">
        <f>E94+J94</f>
        <v>349900</v>
      </c>
      <c r="S94" s="174">
        <f t="shared" si="17"/>
        <v>0</v>
      </c>
    </row>
    <row r="95" spans="1:19" s="83" customFormat="1" ht="15.75">
      <c r="A95" s="286" t="s">
        <v>264</v>
      </c>
      <c r="B95" s="286" t="s">
        <v>281</v>
      </c>
      <c r="C95" s="287" t="s">
        <v>235</v>
      </c>
      <c r="D95" s="302" t="s">
        <v>270</v>
      </c>
      <c r="E95" s="167">
        <f t="shared" si="16"/>
        <v>0</v>
      </c>
      <c r="F95" s="205"/>
      <c r="G95" s="205"/>
      <c r="H95" s="205"/>
      <c r="I95" s="205"/>
      <c r="J95" s="205">
        <f t="shared" si="20"/>
        <v>35582756</v>
      </c>
      <c r="K95" s="167">
        <v>35582756</v>
      </c>
      <c r="L95" s="205"/>
      <c r="M95" s="205"/>
      <c r="N95" s="205"/>
      <c r="O95" s="167">
        <f>34987956+594800</f>
        <v>35582756</v>
      </c>
      <c r="P95" s="205">
        <f t="shared" si="12"/>
        <v>35582756</v>
      </c>
      <c r="S95" s="174">
        <f t="shared" si="17"/>
        <v>0</v>
      </c>
    </row>
    <row r="96" spans="1:19" s="83" customFormat="1" ht="15.75">
      <c r="A96" s="286" t="s">
        <v>265</v>
      </c>
      <c r="B96" s="286" t="s">
        <v>282</v>
      </c>
      <c r="C96" s="287" t="s">
        <v>235</v>
      </c>
      <c r="D96" s="302" t="s">
        <v>283</v>
      </c>
      <c r="E96" s="167">
        <f t="shared" si="16"/>
        <v>0</v>
      </c>
      <c r="F96" s="205"/>
      <c r="G96" s="205"/>
      <c r="H96" s="205"/>
      <c r="I96" s="205"/>
      <c r="J96" s="205">
        <f t="shared" si="20"/>
        <v>8634794</v>
      </c>
      <c r="K96" s="167">
        <v>8634794</v>
      </c>
      <c r="L96" s="205"/>
      <c r="M96" s="205"/>
      <c r="N96" s="205"/>
      <c r="O96" s="167">
        <v>8634794</v>
      </c>
      <c r="P96" s="205">
        <f t="shared" si="12"/>
        <v>8634794</v>
      </c>
      <c r="S96" s="174">
        <f t="shared" si="17"/>
        <v>0</v>
      </c>
    </row>
    <row r="97" spans="1:19" s="83" customFormat="1" ht="15.75">
      <c r="A97" s="286" t="s">
        <v>267</v>
      </c>
      <c r="B97" s="286" t="s">
        <v>266</v>
      </c>
      <c r="C97" s="287" t="s">
        <v>235</v>
      </c>
      <c r="D97" s="180" t="s">
        <v>0</v>
      </c>
      <c r="E97" s="167">
        <f t="shared" si="16"/>
        <v>0</v>
      </c>
      <c r="F97" s="205"/>
      <c r="G97" s="205"/>
      <c r="H97" s="205"/>
      <c r="I97" s="205"/>
      <c r="J97" s="205">
        <f t="shared" si="20"/>
        <v>2600000</v>
      </c>
      <c r="K97" s="167">
        <v>2600000</v>
      </c>
      <c r="L97" s="205"/>
      <c r="M97" s="205"/>
      <c r="N97" s="205"/>
      <c r="O97" s="167">
        <v>2600000</v>
      </c>
      <c r="P97" s="205">
        <f t="shared" si="12"/>
        <v>2600000</v>
      </c>
      <c r="S97" s="174">
        <f t="shared" si="17"/>
        <v>0</v>
      </c>
    </row>
    <row r="98" spans="1:19" s="83" customFormat="1" ht="31.5">
      <c r="A98" s="286" t="s">
        <v>2</v>
      </c>
      <c r="B98" s="286" t="s">
        <v>3</v>
      </c>
      <c r="C98" s="287" t="s">
        <v>235</v>
      </c>
      <c r="D98" s="180" t="s">
        <v>1</v>
      </c>
      <c r="E98" s="205"/>
      <c r="F98" s="205"/>
      <c r="G98" s="205"/>
      <c r="H98" s="205"/>
      <c r="I98" s="205"/>
      <c r="J98" s="205">
        <f t="shared" si="20"/>
        <v>9500000</v>
      </c>
      <c r="K98" s="205">
        <v>9500000</v>
      </c>
      <c r="L98" s="205"/>
      <c r="M98" s="205"/>
      <c r="N98" s="205"/>
      <c r="O98" s="205">
        <v>9500000</v>
      </c>
      <c r="P98" s="205">
        <f t="shared" si="12"/>
        <v>9500000</v>
      </c>
      <c r="S98" s="174">
        <f t="shared" si="17"/>
        <v>0</v>
      </c>
    </row>
    <row r="99" spans="1:19" ht="24.75" customHeight="1">
      <c r="A99" s="211" t="s">
        <v>269</v>
      </c>
      <c r="B99" s="203" t="s">
        <v>268</v>
      </c>
      <c r="C99" s="203" t="s">
        <v>235</v>
      </c>
      <c r="D99" s="412" t="s">
        <v>608</v>
      </c>
      <c r="E99" s="205"/>
      <c r="F99" s="205"/>
      <c r="G99" s="205"/>
      <c r="H99" s="205"/>
      <c r="I99" s="205"/>
      <c r="J99" s="205">
        <f t="shared" si="20"/>
        <v>21300000</v>
      </c>
      <c r="K99" s="205">
        <v>21300000</v>
      </c>
      <c r="L99" s="205"/>
      <c r="M99" s="205"/>
      <c r="N99" s="205"/>
      <c r="O99" s="205">
        <v>21300000</v>
      </c>
      <c r="P99" s="205">
        <f t="shared" si="12"/>
        <v>21300000</v>
      </c>
      <c r="S99" s="174">
        <f t="shared" si="17"/>
        <v>0</v>
      </c>
    </row>
    <row r="100" spans="1:19" s="280" customFormat="1" ht="34.5" customHeight="1">
      <c r="A100" s="207" t="s">
        <v>232</v>
      </c>
      <c r="B100" s="207" t="s">
        <v>231</v>
      </c>
      <c r="C100" s="208"/>
      <c r="D100" s="209" t="s">
        <v>366</v>
      </c>
      <c r="E100" s="210">
        <f>E101</f>
        <v>567934</v>
      </c>
      <c r="F100" s="210">
        <f aca="true" t="shared" si="21" ref="F100:O101">F101</f>
        <v>567934</v>
      </c>
      <c r="G100" s="210">
        <f t="shared" si="21"/>
        <v>465520</v>
      </c>
      <c r="H100" s="210">
        <f t="shared" si="21"/>
        <v>0</v>
      </c>
      <c r="I100" s="210">
        <f t="shared" si="21"/>
        <v>0</v>
      </c>
      <c r="J100" s="210">
        <f t="shared" si="21"/>
        <v>0</v>
      </c>
      <c r="K100" s="210">
        <f t="shared" si="21"/>
        <v>0</v>
      </c>
      <c r="L100" s="210">
        <f t="shared" si="21"/>
        <v>0</v>
      </c>
      <c r="M100" s="210">
        <f t="shared" si="21"/>
        <v>0</v>
      </c>
      <c r="N100" s="210">
        <f t="shared" si="21"/>
        <v>0</v>
      </c>
      <c r="O100" s="210">
        <f t="shared" si="21"/>
        <v>0</v>
      </c>
      <c r="P100" s="210">
        <f t="shared" si="12"/>
        <v>567934</v>
      </c>
      <c r="S100" s="174">
        <f t="shared" si="17"/>
        <v>0</v>
      </c>
    </row>
    <row r="101" spans="1:19" s="280" customFormat="1" ht="31.5" outlineLevel="1">
      <c r="A101" s="207" t="s">
        <v>233</v>
      </c>
      <c r="B101" s="207"/>
      <c r="C101" s="208"/>
      <c r="D101" s="209" t="s">
        <v>367</v>
      </c>
      <c r="E101" s="210">
        <f>F101+I101</f>
        <v>567934</v>
      </c>
      <c r="F101" s="210">
        <f>F102</f>
        <v>567934</v>
      </c>
      <c r="G101" s="210">
        <f t="shared" si="21"/>
        <v>465520</v>
      </c>
      <c r="H101" s="210">
        <f t="shared" si="21"/>
        <v>0</v>
      </c>
      <c r="I101" s="210">
        <f t="shared" si="21"/>
        <v>0</v>
      </c>
      <c r="J101" s="210">
        <f>SUM(J102:J108)</f>
        <v>0</v>
      </c>
      <c r="K101" s="210">
        <f>SUM(K102:K108)</f>
        <v>0</v>
      </c>
      <c r="L101" s="210">
        <f>SUM(L102:L108)</f>
        <v>0</v>
      </c>
      <c r="M101" s="210">
        <f>SUM(M102:M108)</f>
        <v>0</v>
      </c>
      <c r="N101" s="210">
        <f>SUM(N102:N108)</f>
        <v>0</v>
      </c>
      <c r="O101" s="210">
        <f>SUM(O102:O108)</f>
        <v>0</v>
      </c>
      <c r="P101" s="210">
        <f t="shared" si="12"/>
        <v>567934</v>
      </c>
      <c r="S101" s="174">
        <f t="shared" si="17"/>
        <v>0</v>
      </c>
    </row>
    <row r="102" spans="1:19" s="281" customFormat="1" ht="59.25" customHeight="1">
      <c r="A102" s="586" t="s">
        <v>625</v>
      </c>
      <c r="B102" s="586" t="s">
        <v>182</v>
      </c>
      <c r="C102" s="287" t="s">
        <v>53</v>
      </c>
      <c r="D102" s="309" t="s">
        <v>395</v>
      </c>
      <c r="E102" s="167">
        <f>F102+I102</f>
        <v>567934</v>
      </c>
      <c r="F102" s="167">
        <f>465520+102414</f>
        <v>567934</v>
      </c>
      <c r="G102" s="167">
        <v>465520</v>
      </c>
      <c r="H102" s="167"/>
      <c r="I102" s="167"/>
      <c r="J102" s="167">
        <f>L102+O102</f>
        <v>0</v>
      </c>
      <c r="K102" s="167"/>
      <c r="L102" s="167"/>
      <c r="M102" s="167"/>
      <c r="N102" s="167"/>
      <c r="O102" s="167"/>
      <c r="P102" s="205">
        <f>E102+J102</f>
        <v>567934</v>
      </c>
      <c r="S102" s="174">
        <f t="shared" si="17"/>
        <v>0</v>
      </c>
    </row>
    <row r="103" spans="1:19" s="280" customFormat="1" ht="31.5">
      <c r="A103" s="207" t="s">
        <v>186</v>
      </c>
      <c r="B103" s="207" t="s">
        <v>187</v>
      </c>
      <c r="C103" s="220"/>
      <c r="D103" s="196" t="s">
        <v>368</v>
      </c>
      <c r="E103" s="210">
        <f>E104</f>
        <v>43034234</v>
      </c>
      <c r="F103" s="210">
        <f aca="true" t="shared" si="22" ref="F103:O103">F104</f>
        <v>32709000</v>
      </c>
      <c r="G103" s="210">
        <f t="shared" si="22"/>
        <v>3183000</v>
      </c>
      <c r="H103" s="210">
        <f t="shared" si="22"/>
        <v>68000</v>
      </c>
      <c r="I103" s="210">
        <f t="shared" si="22"/>
        <v>10325234</v>
      </c>
      <c r="J103" s="210">
        <f t="shared" si="22"/>
        <v>0</v>
      </c>
      <c r="K103" s="210">
        <f t="shared" si="22"/>
        <v>0</v>
      </c>
      <c r="L103" s="210">
        <f t="shared" si="22"/>
        <v>0</v>
      </c>
      <c r="M103" s="210">
        <f t="shared" si="22"/>
        <v>0</v>
      </c>
      <c r="N103" s="210">
        <f t="shared" si="22"/>
        <v>0</v>
      </c>
      <c r="O103" s="210">
        <f t="shared" si="22"/>
        <v>0</v>
      </c>
      <c r="P103" s="210">
        <f aca="true" t="shared" si="23" ref="P103:P108">E103+J103</f>
        <v>43034234</v>
      </c>
      <c r="S103" s="174">
        <f>160600+415500</f>
        <v>576100</v>
      </c>
    </row>
    <row r="104" spans="1:19" s="280" customFormat="1" ht="31.5">
      <c r="A104" s="207" t="s">
        <v>188</v>
      </c>
      <c r="B104" s="207"/>
      <c r="C104" s="220"/>
      <c r="D104" s="196" t="s">
        <v>369</v>
      </c>
      <c r="E104" s="210">
        <f>SUM(E105:E108)</f>
        <v>43034234</v>
      </c>
      <c r="F104" s="210">
        <f aca="true" t="shared" si="24" ref="F104:P104">SUM(F105:F108)</f>
        <v>32709000</v>
      </c>
      <c r="G104" s="210">
        <f t="shared" si="24"/>
        <v>3183000</v>
      </c>
      <c r="H104" s="210">
        <f t="shared" si="24"/>
        <v>68000</v>
      </c>
      <c r="I104" s="210">
        <f t="shared" si="24"/>
        <v>10325234</v>
      </c>
      <c r="J104" s="210">
        <f t="shared" si="24"/>
        <v>0</v>
      </c>
      <c r="K104" s="210">
        <f t="shared" si="24"/>
        <v>0</v>
      </c>
      <c r="L104" s="210">
        <f t="shared" si="24"/>
        <v>0</v>
      </c>
      <c r="M104" s="210">
        <f t="shared" si="24"/>
        <v>0</v>
      </c>
      <c r="N104" s="210">
        <f t="shared" si="24"/>
        <v>0</v>
      </c>
      <c r="O104" s="210">
        <f t="shared" si="24"/>
        <v>0</v>
      </c>
      <c r="P104" s="210">
        <f t="shared" si="24"/>
        <v>43034234</v>
      </c>
      <c r="S104" s="174">
        <f>S109-S105</f>
        <v>576100</v>
      </c>
    </row>
    <row r="105" spans="1:19" s="281" customFormat="1" ht="47.25">
      <c r="A105" s="286" t="s">
        <v>189</v>
      </c>
      <c r="B105" s="286" t="s">
        <v>182</v>
      </c>
      <c r="C105" s="287" t="s">
        <v>53</v>
      </c>
      <c r="D105" s="600" t="s">
        <v>395</v>
      </c>
      <c r="E105" s="167">
        <f>F105+I105</f>
        <v>4194000</v>
      </c>
      <c r="F105" s="167">
        <v>4194000</v>
      </c>
      <c r="G105" s="167">
        <v>3183000</v>
      </c>
      <c r="H105" s="167">
        <v>68000</v>
      </c>
      <c r="I105" s="167"/>
      <c r="J105" s="205">
        <f>L105+O105</f>
        <v>0</v>
      </c>
      <c r="K105" s="205"/>
      <c r="L105" s="205"/>
      <c r="M105" s="205"/>
      <c r="N105" s="205"/>
      <c r="O105" s="205"/>
      <c r="P105" s="205">
        <f t="shared" si="23"/>
        <v>4194000</v>
      </c>
      <c r="S105" s="174">
        <f>925000+17500</f>
        <v>942500</v>
      </c>
    </row>
    <row r="106" spans="1:19" s="281" customFormat="1" ht="15.75">
      <c r="A106" s="283" t="s">
        <v>492</v>
      </c>
      <c r="B106" s="283" t="s">
        <v>493</v>
      </c>
      <c r="C106" s="284" t="s">
        <v>494</v>
      </c>
      <c r="D106" s="285" t="s">
        <v>626</v>
      </c>
      <c r="E106" s="167">
        <f>F106+I106</f>
        <v>10325234</v>
      </c>
      <c r="F106" s="167"/>
      <c r="G106" s="167"/>
      <c r="H106" s="167"/>
      <c r="I106" s="167">
        <v>10325234</v>
      </c>
      <c r="J106" s="205">
        <f>L106+O106</f>
        <v>0</v>
      </c>
      <c r="K106" s="205"/>
      <c r="L106" s="205"/>
      <c r="M106" s="205"/>
      <c r="N106" s="205"/>
      <c r="O106" s="205"/>
      <c r="P106" s="205">
        <f t="shared" si="23"/>
        <v>10325234</v>
      </c>
      <c r="S106" s="174">
        <f t="shared" si="17"/>
        <v>0</v>
      </c>
    </row>
    <row r="107" spans="1:19" s="281" customFormat="1" ht="15.75">
      <c r="A107" s="286" t="s">
        <v>274</v>
      </c>
      <c r="B107" s="286" t="s">
        <v>190</v>
      </c>
      <c r="C107" s="186" t="s">
        <v>61</v>
      </c>
      <c r="D107" s="589" t="s">
        <v>47</v>
      </c>
      <c r="E107" s="167">
        <f>F107+I107</f>
        <v>100000</v>
      </c>
      <c r="F107" s="167">
        <v>100000</v>
      </c>
      <c r="G107" s="193"/>
      <c r="H107" s="193"/>
      <c r="I107" s="193"/>
      <c r="J107" s="205"/>
      <c r="K107" s="205">
        <v>0</v>
      </c>
      <c r="L107" s="205"/>
      <c r="M107" s="205"/>
      <c r="N107" s="205"/>
      <c r="O107" s="205"/>
      <c r="P107" s="205">
        <f t="shared" si="23"/>
        <v>100000</v>
      </c>
      <c r="S107" s="174">
        <f t="shared" si="17"/>
        <v>0</v>
      </c>
    </row>
    <row r="108" spans="1:19" s="281" customFormat="1" ht="15.75">
      <c r="A108" s="286" t="s">
        <v>275</v>
      </c>
      <c r="B108" s="286" t="s">
        <v>191</v>
      </c>
      <c r="C108" s="186" t="s">
        <v>70</v>
      </c>
      <c r="D108" s="589" t="s">
        <v>71</v>
      </c>
      <c r="E108" s="167">
        <f>F108+I108</f>
        <v>28415000</v>
      </c>
      <c r="F108" s="205">
        <v>28415000</v>
      </c>
      <c r="G108" s="223"/>
      <c r="H108" s="223"/>
      <c r="I108" s="223"/>
      <c r="J108" s="205">
        <f>L108+O108</f>
        <v>0</v>
      </c>
      <c r="K108" s="223"/>
      <c r="L108" s="223"/>
      <c r="M108" s="223"/>
      <c r="N108" s="223"/>
      <c r="O108" s="223"/>
      <c r="P108" s="205">
        <f t="shared" si="23"/>
        <v>28415000</v>
      </c>
      <c r="S108" s="174">
        <f t="shared" si="17"/>
        <v>0</v>
      </c>
    </row>
    <row r="109" spans="1:19" s="280" customFormat="1" ht="15.75">
      <c r="A109" s="226"/>
      <c r="B109" s="226"/>
      <c r="C109" s="226"/>
      <c r="D109" s="604" t="s">
        <v>72</v>
      </c>
      <c r="E109" s="227">
        <f>E12+E28+E50+E61+E71+E91+E103+E100</f>
        <v>897300000</v>
      </c>
      <c r="F109" s="227">
        <f aca="true" t="shared" si="25" ref="F109:P109">F12+F28+F50+F61+F71+F91+F103+F100</f>
        <v>795089767</v>
      </c>
      <c r="G109" s="227">
        <f t="shared" si="25"/>
        <v>497015323</v>
      </c>
      <c r="H109" s="227">
        <f t="shared" si="25"/>
        <v>27627639</v>
      </c>
      <c r="I109" s="227">
        <f t="shared" si="25"/>
        <v>102210233</v>
      </c>
      <c r="J109" s="227">
        <f t="shared" si="25"/>
        <v>188354131</v>
      </c>
      <c r="K109" s="227">
        <f t="shared" si="25"/>
        <v>145004887</v>
      </c>
      <c r="L109" s="227">
        <f t="shared" si="25"/>
        <v>41830644</v>
      </c>
      <c r="M109" s="227">
        <f t="shared" si="25"/>
        <v>7765265</v>
      </c>
      <c r="N109" s="227">
        <f t="shared" si="25"/>
        <v>1535820</v>
      </c>
      <c r="O109" s="227">
        <f t="shared" si="25"/>
        <v>146523487</v>
      </c>
      <c r="P109" s="227">
        <f t="shared" si="25"/>
        <v>1085654131</v>
      </c>
      <c r="S109" s="174">
        <f t="shared" si="17"/>
        <v>1518600</v>
      </c>
    </row>
    <row r="110" spans="1:19" ht="35.25" customHeight="1">
      <c r="A110" s="105"/>
      <c r="B110" s="105"/>
      <c r="C110" s="217"/>
      <c r="D110" s="366"/>
      <c r="E110" s="367"/>
      <c r="F110" s="368"/>
      <c r="G110" s="368"/>
      <c r="H110" s="369"/>
      <c r="I110" s="368"/>
      <c r="J110" s="370"/>
      <c r="K110" s="369"/>
      <c r="L110" s="369"/>
      <c r="M110" s="369"/>
      <c r="N110" s="368"/>
      <c r="O110" s="368"/>
      <c r="P110" s="368"/>
      <c r="S110" s="174">
        <f t="shared" si="17"/>
        <v>0</v>
      </c>
    </row>
    <row r="111" spans="4:19" ht="35.25" customHeight="1">
      <c r="D111" s="6" t="s">
        <v>49</v>
      </c>
      <c r="I111" s="174"/>
      <c r="J111" s="383"/>
      <c r="K111" s="174" t="s">
        <v>471</v>
      </c>
      <c r="L111" s="174"/>
      <c r="N111" s="174"/>
      <c r="P111" s="174"/>
      <c r="S111" s="174" t="e">
        <f>O111-K111</f>
        <v>#VALUE!</v>
      </c>
    </row>
    <row r="112" spans="4:16" ht="35.25" customHeight="1">
      <c r="D112" s="371"/>
      <c r="E112" s="367"/>
      <c r="F112" s="368"/>
      <c r="G112" s="368"/>
      <c r="H112" s="369"/>
      <c r="I112" s="368"/>
      <c r="J112" s="372"/>
      <c r="K112" s="369"/>
      <c r="L112" s="368"/>
      <c r="M112" s="368"/>
      <c r="N112" s="368"/>
      <c r="O112" s="368"/>
      <c r="P112" s="369"/>
    </row>
    <row r="113" spans="4:16" ht="15.75">
      <c r="D113" s="371"/>
      <c r="E113" s="367"/>
      <c r="F113" s="368"/>
      <c r="G113" s="368"/>
      <c r="H113" s="368"/>
      <c r="I113" s="368"/>
      <c r="J113" s="372"/>
      <c r="K113" s="368"/>
      <c r="L113" s="368"/>
      <c r="M113" s="368"/>
      <c r="N113" s="368"/>
      <c r="O113" s="368"/>
      <c r="P113" s="368"/>
    </row>
    <row r="114" spans="4:16" ht="15.75">
      <c r="D114" s="371"/>
      <c r="E114" s="372"/>
      <c r="F114" s="368"/>
      <c r="G114" s="368"/>
      <c r="H114" s="368"/>
      <c r="I114" s="368"/>
      <c r="J114" s="372"/>
      <c r="K114" s="373"/>
      <c r="L114" s="368"/>
      <c r="M114" s="368"/>
      <c r="N114" s="369"/>
      <c r="O114" s="368"/>
      <c r="P114" s="373"/>
    </row>
    <row r="115" spans="4:16" ht="15.75">
      <c r="D115" s="371"/>
      <c r="E115" s="372"/>
      <c r="F115" s="373"/>
      <c r="G115" s="368"/>
      <c r="H115" s="373"/>
      <c r="I115" s="368"/>
      <c r="J115" s="372"/>
      <c r="K115" s="373"/>
      <c r="L115" s="368"/>
      <c r="M115" s="368"/>
      <c r="N115" s="368"/>
      <c r="O115" s="368"/>
      <c r="P115" s="373"/>
    </row>
    <row r="116" spans="4:16" ht="15.75">
      <c r="D116" s="371"/>
      <c r="E116" s="374"/>
      <c r="F116" s="373"/>
      <c r="G116" s="368"/>
      <c r="H116" s="373"/>
      <c r="I116" s="368"/>
      <c r="J116" s="372"/>
      <c r="K116" s="373"/>
      <c r="L116" s="368"/>
      <c r="M116" s="368"/>
      <c r="N116" s="368"/>
      <c r="O116" s="368"/>
      <c r="P116" s="368"/>
    </row>
    <row r="117" spans="4:16" ht="15.75">
      <c r="D117" s="371"/>
      <c r="E117" s="375"/>
      <c r="F117" s="368"/>
      <c r="G117" s="368"/>
      <c r="H117" s="373"/>
      <c r="I117" s="368"/>
      <c r="J117" s="372"/>
      <c r="K117" s="368"/>
      <c r="L117" s="369"/>
      <c r="M117" s="368"/>
      <c r="N117" s="368"/>
      <c r="O117" s="368"/>
      <c r="P117" s="373"/>
    </row>
    <row r="118" spans="4:16" ht="15.75">
      <c r="D118" s="371"/>
      <c r="E118" s="375"/>
      <c r="F118" s="373"/>
      <c r="G118" s="368"/>
      <c r="H118" s="368"/>
      <c r="I118" s="368"/>
      <c r="J118" s="370"/>
      <c r="K118" s="368"/>
      <c r="L118" s="369"/>
      <c r="M118" s="368"/>
      <c r="N118" s="368"/>
      <c r="O118" s="368"/>
      <c r="P118" s="373"/>
    </row>
    <row r="119" spans="4:16" ht="15.75">
      <c r="D119" s="371"/>
      <c r="E119" s="376"/>
      <c r="F119" s="368"/>
      <c r="G119" s="368"/>
      <c r="H119" s="368"/>
      <c r="I119" s="368"/>
      <c r="J119" s="367"/>
      <c r="K119" s="368"/>
      <c r="L119" s="369"/>
      <c r="M119" s="368"/>
      <c r="N119" s="368"/>
      <c r="O119" s="368"/>
      <c r="P119" s="373"/>
    </row>
    <row r="120" spans="4:16" ht="15.75">
      <c r="D120" s="371"/>
      <c r="E120" s="377"/>
      <c r="F120" s="368"/>
      <c r="G120" s="368"/>
      <c r="H120" s="368"/>
      <c r="I120" s="368"/>
      <c r="J120" s="367"/>
      <c r="K120" s="368"/>
      <c r="L120" s="369">
        <f>O109-K109</f>
        <v>1518600</v>
      </c>
      <c r="M120" s="368"/>
      <c r="N120" s="368"/>
      <c r="O120" s="368"/>
      <c r="P120" s="368"/>
    </row>
    <row r="121" ht="15.75">
      <c r="E121" s="112"/>
    </row>
    <row r="122" ht="15.75">
      <c r="E122" s="30"/>
    </row>
  </sheetData>
  <sheetProtection/>
  <autoFilter ref="A11:P109"/>
  <mergeCells count="25">
    <mergeCell ref="A7:A10"/>
    <mergeCell ref="B7:B10"/>
    <mergeCell ref="G8:H8"/>
    <mergeCell ref="A3:P3"/>
    <mergeCell ref="L8:L10"/>
    <mergeCell ref="C7:C10"/>
    <mergeCell ref="F8:F10"/>
    <mergeCell ref="H9:H10"/>
    <mergeCell ref="K8:K10"/>
    <mergeCell ref="M8:N8"/>
    <mergeCell ref="L2:P2"/>
    <mergeCell ref="D5:E5"/>
    <mergeCell ref="J7:O7"/>
    <mergeCell ref="G9:G10"/>
    <mergeCell ref="E7:I7"/>
    <mergeCell ref="L1:P1"/>
    <mergeCell ref="P7:P10"/>
    <mergeCell ref="J8:J10"/>
    <mergeCell ref="O8:O10"/>
    <mergeCell ref="A4:P4"/>
    <mergeCell ref="M9:M10"/>
    <mergeCell ref="I8:I10"/>
    <mergeCell ref="D7:D10"/>
    <mergeCell ref="N9:N10"/>
    <mergeCell ref="E8:E10"/>
  </mergeCells>
  <printOptions/>
  <pageMargins left="0.2362204724409449" right="0.1968503937007874" top="0.4724409448818898" bottom="0.4724409448818898" header="0.2362204724409449" footer="0.2755905511811024"/>
  <pageSetup fitToHeight="9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showZeros="0" view="pageBreakPreview" zoomScaleSheetLayoutView="100" zoomScalePageLayoutView="0" workbookViewId="0" topLeftCell="A7">
      <selection activeCell="L1" sqref="L1:P1"/>
    </sheetView>
  </sheetViews>
  <sheetFormatPr defaultColWidth="7.875" defaultRowHeight="12.75"/>
  <cols>
    <col min="1" max="1" width="10.25390625" style="124" customWidth="1"/>
    <col min="2" max="2" width="10.125" style="124" customWidth="1"/>
    <col min="3" max="3" width="9.375" style="124" customWidth="1"/>
    <col min="4" max="4" width="45.625" style="124" customWidth="1"/>
    <col min="5" max="5" width="12.00390625" style="124" customWidth="1"/>
    <col min="6" max="6" width="11.75390625" style="124" customWidth="1"/>
    <col min="7" max="7" width="10.875" style="124" customWidth="1"/>
    <col min="8" max="8" width="11.125" style="124" customWidth="1"/>
    <col min="9" max="9" width="8.25390625" style="124" customWidth="1"/>
    <col min="10" max="10" width="11.00390625" style="124" customWidth="1"/>
    <col min="11" max="11" width="10.875" style="124" customWidth="1"/>
    <col min="12" max="12" width="11.00390625" style="124" customWidth="1"/>
    <col min="13" max="13" width="11.125" style="124" customWidth="1"/>
    <col min="14" max="14" width="11.00390625" style="124" customWidth="1"/>
    <col min="15" max="15" width="10.875" style="124" customWidth="1"/>
    <col min="16" max="16" width="20.25390625" style="124" customWidth="1"/>
    <col min="17" max="17" width="8.375" style="124" bestFit="1" customWidth="1"/>
    <col min="18" max="16384" width="7.875" style="124" customWidth="1"/>
  </cols>
  <sheetData>
    <row r="1" spans="1:16" ht="114" customHeight="1">
      <c r="A1" s="122"/>
      <c r="B1" s="122"/>
      <c r="C1" s="122"/>
      <c r="D1" s="123"/>
      <c r="E1" s="123"/>
      <c r="F1" s="123"/>
      <c r="G1" s="123"/>
      <c r="H1" s="123"/>
      <c r="I1" s="123"/>
      <c r="J1" s="123"/>
      <c r="K1" s="125"/>
      <c r="L1" s="631" t="s">
        <v>597</v>
      </c>
      <c r="M1" s="631"/>
      <c r="N1" s="631"/>
      <c r="O1" s="631"/>
      <c r="P1" s="631"/>
    </row>
    <row r="2" spans="1:16" ht="21" customHeight="1">
      <c r="A2" s="632" t="s">
        <v>596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  <c r="M2" s="632"/>
      <c r="N2" s="632"/>
      <c r="O2" s="632"/>
      <c r="P2" s="632"/>
    </row>
    <row r="3" spans="1:16" ht="25.5" customHeight="1">
      <c r="A3" s="126"/>
      <c r="B3" s="633" t="s">
        <v>386</v>
      </c>
      <c r="C3" s="633"/>
      <c r="D3" s="127"/>
      <c r="E3" s="128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</row>
    <row r="4" spans="1:16" ht="15.75" customHeight="1">
      <c r="A4" s="129"/>
      <c r="B4" s="634" t="s">
        <v>331</v>
      </c>
      <c r="C4" s="634"/>
      <c r="D4" s="130"/>
      <c r="E4" s="130"/>
      <c r="F4" s="131"/>
      <c r="G4" s="131"/>
      <c r="H4" s="131"/>
      <c r="I4" s="131"/>
      <c r="J4" s="131"/>
      <c r="K4" s="131"/>
      <c r="L4" s="131"/>
      <c r="M4" s="122"/>
      <c r="N4" s="122"/>
      <c r="O4" s="122"/>
      <c r="P4" s="132" t="s">
        <v>89</v>
      </c>
    </row>
    <row r="5" spans="1:16" s="133" customFormat="1" ht="12.75" customHeight="1">
      <c r="A5" s="635" t="s">
        <v>292</v>
      </c>
      <c r="B5" s="635" t="s">
        <v>293</v>
      </c>
      <c r="C5" s="635" t="s">
        <v>294</v>
      </c>
      <c r="D5" s="638" t="s">
        <v>346</v>
      </c>
      <c r="E5" s="639" t="s">
        <v>347</v>
      </c>
      <c r="F5" s="639"/>
      <c r="G5" s="639"/>
      <c r="H5" s="639"/>
      <c r="I5" s="639" t="s">
        <v>348</v>
      </c>
      <c r="J5" s="639"/>
      <c r="K5" s="639"/>
      <c r="L5" s="639"/>
      <c r="M5" s="639" t="s">
        <v>349</v>
      </c>
      <c r="N5" s="639"/>
      <c r="O5" s="639"/>
      <c r="P5" s="639"/>
    </row>
    <row r="6" spans="1:16" s="133" customFormat="1" ht="12.75" customHeight="1">
      <c r="A6" s="636"/>
      <c r="B6" s="636"/>
      <c r="C6" s="636"/>
      <c r="D6" s="638"/>
      <c r="E6" s="640" t="s">
        <v>74</v>
      </c>
      <c r="F6" s="640" t="s">
        <v>75</v>
      </c>
      <c r="G6" s="640"/>
      <c r="H6" s="641" t="s">
        <v>39</v>
      </c>
      <c r="I6" s="641" t="s">
        <v>74</v>
      </c>
      <c r="J6" s="644" t="s">
        <v>75</v>
      </c>
      <c r="K6" s="645"/>
      <c r="L6" s="641" t="s">
        <v>39</v>
      </c>
      <c r="M6" s="641" t="s">
        <v>74</v>
      </c>
      <c r="N6" s="646" t="s">
        <v>75</v>
      </c>
      <c r="O6" s="647"/>
      <c r="P6" s="641" t="s">
        <v>39</v>
      </c>
    </row>
    <row r="7" spans="1:16" s="134" customFormat="1" ht="51" customHeight="1">
      <c r="A7" s="636"/>
      <c r="B7" s="636"/>
      <c r="C7" s="636"/>
      <c r="D7" s="638"/>
      <c r="E7" s="640"/>
      <c r="F7" s="648" t="s">
        <v>285</v>
      </c>
      <c r="G7" s="649" t="s">
        <v>350</v>
      </c>
      <c r="H7" s="642"/>
      <c r="I7" s="642"/>
      <c r="J7" s="648" t="s">
        <v>285</v>
      </c>
      <c r="K7" s="649" t="s">
        <v>350</v>
      </c>
      <c r="L7" s="642"/>
      <c r="M7" s="642"/>
      <c r="N7" s="648" t="s">
        <v>285</v>
      </c>
      <c r="O7" s="649" t="s">
        <v>350</v>
      </c>
      <c r="P7" s="642"/>
    </row>
    <row r="8" spans="1:16" s="133" customFormat="1" ht="18" customHeight="1">
      <c r="A8" s="637"/>
      <c r="B8" s="637"/>
      <c r="C8" s="637"/>
      <c r="D8" s="638"/>
      <c r="E8" s="640"/>
      <c r="F8" s="648"/>
      <c r="G8" s="649"/>
      <c r="H8" s="643"/>
      <c r="I8" s="643"/>
      <c r="J8" s="648"/>
      <c r="K8" s="649"/>
      <c r="L8" s="643"/>
      <c r="M8" s="643"/>
      <c r="N8" s="648"/>
      <c r="O8" s="649"/>
      <c r="P8" s="643"/>
    </row>
    <row r="9" spans="1:16" s="133" customFormat="1" ht="15" customHeight="1">
      <c r="A9" s="135">
        <v>1</v>
      </c>
      <c r="B9" s="135">
        <v>2</v>
      </c>
      <c r="C9" s="135">
        <v>3</v>
      </c>
      <c r="D9" s="135">
        <v>4</v>
      </c>
      <c r="E9" s="135">
        <v>5</v>
      </c>
      <c r="F9" s="135">
        <v>6</v>
      </c>
      <c r="G9" s="135">
        <v>7</v>
      </c>
      <c r="H9" s="135">
        <v>8</v>
      </c>
      <c r="I9" s="135">
        <v>9</v>
      </c>
      <c r="J9" s="135">
        <v>10</v>
      </c>
      <c r="K9" s="135">
        <v>11</v>
      </c>
      <c r="L9" s="135">
        <v>12</v>
      </c>
      <c r="M9" s="135">
        <v>13</v>
      </c>
      <c r="N9" s="135">
        <v>14</v>
      </c>
      <c r="O9" s="135">
        <v>15</v>
      </c>
      <c r="P9" s="135">
        <v>16</v>
      </c>
    </row>
    <row r="10" spans="1:16" s="133" customFormat="1" ht="31.5">
      <c r="A10" s="120">
        <v>3700000</v>
      </c>
      <c r="B10" s="120">
        <v>37</v>
      </c>
      <c r="C10" s="136"/>
      <c r="D10" s="137" t="s">
        <v>354</v>
      </c>
      <c r="E10" s="138">
        <f>E11</f>
        <v>0</v>
      </c>
      <c r="F10" s="138">
        <f aca="true" t="shared" si="0" ref="F10:P11">F11</f>
        <v>-73464</v>
      </c>
      <c r="G10" s="138">
        <f t="shared" si="0"/>
        <v>0</v>
      </c>
      <c r="H10" s="138">
        <f t="shared" si="0"/>
        <v>-73464</v>
      </c>
      <c r="I10" s="138">
        <f t="shared" si="0"/>
        <v>0</v>
      </c>
      <c r="J10" s="138">
        <f t="shared" si="0"/>
        <v>0</v>
      </c>
      <c r="K10" s="138">
        <f t="shared" si="0"/>
        <v>0</v>
      </c>
      <c r="L10" s="138">
        <f t="shared" si="0"/>
        <v>0</v>
      </c>
      <c r="M10" s="138">
        <f t="shared" si="0"/>
        <v>0</v>
      </c>
      <c r="N10" s="138">
        <f t="shared" si="0"/>
        <v>-73464</v>
      </c>
      <c r="O10" s="138">
        <f t="shared" si="0"/>
        <v>0</v>
      </c>
      <c r="P10" s="138">
        <f t="shared" si="0"/>
        <v>-73464</v>
      </c>
    </row>
    <row r="11" spans="1:16" ht="31.5">
      <c r="A11" s="120">
        <v>3710000</v>
      </c>
      <c r="B11" s="120">
        <v>37</v>
      </c>
      <c r="C11" s="136"/>
      <c r="D11" s="137" t="s">
        <v>355</v>
      </c>
      <c r="E11" s="138">
        <f>E12</f>
        <v>0</v>
      </c>
      <c r="F11" s="138">
        <f>+F12</f>
        <v>-73464</v>
      </c>
      <c r="G11" s="138">
        <f>+G12</f>
        <v>0</v>
      </c>
      <c r="H11" s="138">
        <f t="shared" si="0"/>
        <v>-73464</v>
      </c>
      <c r="I11" s="138">
        <f t="shared" si="0"/>
        <v>0</v>
      </c>
      <c r="J11" s="138">
        <f t="shared" si="0"/>
        <v>0</v>
      </c>
      <c r="K11" s="138">
        <f t="shared" si="0"/>
        <v>0</v>
      </c>
      <c r="L11" s="138">
        <f t="shared" si="0"/>
        <v>0</v>
      </c>
      <c r="M11" s="138">
        <f t="shared" si="0"/>
        <v>0</v>
      </c>
      <c r="N11" s="138">
        <f t="shared" si="0"/>
        <v>-73464</v>
      </c>
      <c r="O11" s="138">
        <f t="shared" si="0"/>
        <v>0</v>
      </c>
      <c r="P11" s="138">
        <f t="shared" si="0"/>
        <v>-73464</v>
      </c>
    </row>
    <row r="12" spans="1:16" ht="47.25">
      <c r="A12" s="136">
        <v>3718832</v>
      </c>
      <c r="B12" s="139">
        <v>8832</v>
      </c>
      <c r="C12" s="140" t="s">
        <v>57</v>
      </c>
      <c r="D12" s="141" t="s">
        <v>351</v>
      </c>
      <c r="E12" s="142"/>
      <c r="F12" s="142">
        <v>-73464</v>
      </c>
      <c r="G12" s="142"/>
      <c r="H12" s="142">
        <f>F12</f>
        <v>-73464</v>
      </c>
      <c r="I12" s="142"/>
      <c r="J12" s="142"/>
      <c r="K12" s="142"/>
      <c r="L12" s="142">
        <f>J12+I12</f>
        <v>0</v>
      </c>
      <c r="M12" s="143">
        <f>E12+I12</f>
        <v>0</v>
      </c>
      <c r="N12" s="143">
        <f>J12+F12</f>
        <v>-73464</v>
      </c>
      <c r="O12" s="143"/>
      <c r="P12" s="143">
        <f>M12+N12</f>
        <v>-73464</v>
      </c>
    </row>
    <row r="13" spans="1:16" ht="47.25">
      <c r="A13" s="120">
        <v>1200000</v>
      </c>
      <c r="B13" s="120">
        <v>12</v>
      </c>
      <c r="C13" s="144"/>
      <c r="D13" s="137" t="s">
        <v>356</v>
      </c>
      <c r="E13" s="145">
        <f>E14</f>
        <v>0</v>
      </c>
      <c r="F13" s="145">
        <f aca="true" t="shared" si="1" ref="F13:P14">F14</f>
        <v>0</v>
      </c>
      <c r="G13" s="145">
        <f t="shared" si="1"/>
        <v>0</v>
      </c>
      <c r="H13" s="145">
        <f t="shared" si="1"/>
        <v>0</v>
      </c>
      <c r="I13" s="145">
        <f t="shared" si="1"/>
        <v>0</v>
      </c>
      <c r="J13" s="145">
        <f t="shared" si="1"/>
        <v>73464</v>
      </c>
      <c r="K13" s="145">
        <f t="shared" si="1"/>
        <v>0</v>
      </c>
      <c r="L13" s="142">
        <f>I13+J13</f>
        <v>73464</v>
      </c>
      <c r="M13" s="145">
        <f t="shared" si="1"/>
        <v>0</v>
      </c>
      <c r="N13" s="145">
        <f t="shared" si="1"/>
        <v>73464</v>
      </c>
      <c r="O13" s="145">
        <f t="shared" si="1"/>
        <v>0</v>
      </c>
      <c r="P13" s="145">
        <f t="shared" si="1"/>
        <v>73464</v>
      </c>
    </row>
    <row r="14" spans="1:16" ht="47.25">
      <c r="A14" s="120">
        <v>1200000</v>
      </c>
      <c r="B14" s="120">
        <v>12</v>
      </c>
      <c r="C14" s="144"/>
      <c r="D14" s="137" t="s">
        <v>357</v>
      </c>
      <c r="E14" s="145">
        <f>E15</f>
        <v>0</v>
      </c>
      <c r="F14" s="145">
        <f t="shared" si="1"/>
        <v>0</v>
      </c>
      <c r="G14" s="145">
        <f t="shared" si="1"/>
        <v>0</v>
      </c>
      <c r="H14" s="145">
        <f t="shared" si="1"/>
        <v>0</v>
      </c>
      <c r="I14" s="145">
        <f t="shared" si="1"/>
        <v>0</v>
      </c>
      <c r="J14" s="145">
        <f t="shared" si="1"/>
        <v>73464</v>
      </c>
      <c r="K14" s="145">
        <f t="shared" si="1"/>
        <v>0</v>
      </c>
      <c r="L14" s="145">
        <f t="shared" si="1"/>
        <v>73464</v>
      </c>
      <c r="M14" s="145">
        <f t="shared" si="1"/>
        <v>0</v>
      </c>
      <c r="N14" s="145">
        <f t="shared" si="1"/>
        <v>73464</v>
      </c>
      <c r="O14" s="145">
        <f t="shared" si="1"/>
        <v>0</v>
      </c>
      <c r="P14" s="145">
        <f t="shared" si="1"/>
        <v>73464</v>
      </c>
    </row>
    <row r="15" spans="1:16" ht="31.5">
      <c r="A15" s="140" t="s">
        <v>409</v>
      </c>
      <c r="B15" s="139">
        <v>8831</v>
      </c>
      <c r="C15" s="147">
        <v>1060</v>
      </c>
      <c r="D15" s="148" t="s">
        <v>352</v>
      </c>
      <c r="E15" s="143"/>
      <c r="F15" s="143"/>
      <c r="G15" s="143"/>
      <c r="H15" s="143">
        <f>E15+F15</f>
        <v>0</v>
      </c>
      <c r="I15" s="143"/>
      <c r="J15" s="143">
        <v>73464</v>
      </c>
      <c r="K15" s="143"/>
      <c r="L15" s="143">
        <f>J15</f>
        <v>73464</v>
      </c>
      <c r="M15" s="143">
        <f>E15+I15</f>
        <v>0</v>
      </c>
      <c r="N15" s="143">
        <f>J15+F15</f>
        <v>73464</v>
      </c>
      <c r="O15" s="143"/>
      <c r="P15" s="143">
        <f>M15+N15</f>
        <v>73464</v>
      </c>
    </row>
    <row r="16" spans="1:16" ht="15.75">
      <c r="A16" s="139"/>
      <c r="B16" s="139"/>
      <c r="C16" s="140"/>
      <c r="D16" s="149" t="s">
        <v>353</v>
      </c>
      <c r="E16" s="150">
        <f aca="true" t="shared" si="2" ref="E16:O16">E10+E13</f>
        <v>0</v>
      </c>
      <c r="F16" s="150">
        <f t="shared" si="2"/>
        <v>-73464</v>
      </c>
      <c r="G16" s="150">
        <f t="shared" si="2"/>
        <v>0</v>
      </c>
      <c r="H16" s="150">
        <f t="shared" si="2"/>
        <v>-73464</v>
      </c>
      <c r="I16" s="150">
        <f t="shared" si="2"/>
        <v>0</v>
      </c>
      <c r="J16" s="150">
        <f t="shared" si="2"/>
        <v>73464</v>
      </c>
      <c r="K16" s="150">
        <f t="shared" si="2"/>
        <v>0</v>
      </c>
      <c r="L16" s="150">
        <f t="shared" si="2"/>
        <v>73464</v>
      </c>
      <c r="M16" s="150">
        <f t="shared" si="2"/>
        <v>0</v>
      </c>
      <c r="N16" s="150">
        <f>N10+N13+0.001</f>
        <v>0.001</v>
      </c>
      <c r="O16" s="150">
        <f t="shared" si="2"/>
        <v>0</v>
      </c>
      <c r="P16" s="150">
        <f>P10+P13+0.0001</f>
        <v>0.0001</v>
      </c>
    </row>
    <row r="17" ht="12.75">
      <c r="P17" s="146"/>
    </row>
    <row r="18" ht="12.75">
      <c r="P18" s="146"/>
    </row>
    <row r="19" ht="12.75">
      <c r="P19" s="146"/>
    </row>
    <row r="20" spans="3:16" ht="15.75">
      <c r="C20" s="216" t="s">
        <v>49</v>
      </c>
      <c r="D20" s="215"/>
      <c r="E20" s="217"/>
      <c r="F20" s="217"/>
      <c r="G20" s="217"/>
      <c r="H20" s="217"/>
      <c r="I20" s="219"/>
      <c r="J20" s="218"/>
      <c r="K20" s="217"/>
      <c r="L20" s="217"/>
      <c r="M20" s="217" t="s">
        <v>471</v>
      </c>
      <c r="N20" s="217"/>
      <c r="O20" s="217"/>
      <c r="P20" s="217"/>
    </row>
  </sheetData>
  <sheetProtection/>
  <mergeCells count="26">
    <mergeCell ref="F7:F8"/>
    <mergeCell ref="G7:G8"/>
    <mergeCell ref="J7:J8"/>
    <mergeCell ref="K7:K8"/>
    <mergeCell ref="N7:N8"/>
    <mergeCell ref="O7:O8"/>
    <mergeCell ref="M5:P5"/>
    <mergeCell ref="E6:E8"/>
    <mergeCell ref="F6:G6"/>
    <mergeCell ref="H6:H8"/>
    <mergeCell ref="I6:I8"/>
    <mergeCell ref="J6:K6"/>
    <mergeCell ref="L6:L8"/>
    <mergeCell ref="M6:M8"/>
    <mergeCell ref="N6:O6"/>
    <mergeCell ref="P6:P8"/>
    <mergeCell ref="L1:P1"/>
    <mergeCell ref="A2:P2"/>
    <mergeCell ref="B3:C3"/>
    <mergeCell ref="B4:C4"/>
    <mergeCell ref="A5:A8"/>
    <mergeCell ref="B5:B8"/>
    <mergeCell ref="C5:C8"/>
    <mergeCell ref="D5:D8"/>
    <mergeCell ref="E5:H5"/>
    <mergeCell ref="I5:L5"/>
  </mergeCells>
  <printOptions/>
  <pageMargins left="0.7" right="0.7" top="0.75" bottom="0.75" header="0.3" footer="0.3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view="pageBreakPreview" zoomScale="80" zoomScaleSheetLayoutView="80" zoomScalePageLayoutView="0" workbookViewId="0" topLeftCell="A1">
      <selection activeCell="C17" sqref="C17"/>
    </sheetView>
  </sheetViews>
  <sheetFormatPr defaultColWidth="9.00390625" defaultRowHeight="12.75"/>
  <cols>
    <col min="1" max="1" width="27.75390625" style="0" customWidth="1"/>
    <col min="2" max="2" width="73.25390625" style="0" customWidth="1"/>
    <col min="3" max="3" width="38.125" style="0" customWidth="1"/>
    <col min="5" max="5" width="10.00390625" style="0" bestFit="1" customWidth="1"/>
  </cols>
  <sheetData>
    <row r="1" spans="2:3" ht="79.5" customHeight="1">
      <c r="B1" s="650" t="s">
        <v>598</v>
      </c>
      <c r="C1" s="650"/>
    </row>
    <row r="2" ht="15.75" customHeight="1">
      <c r="C2" s="117" t="s">
        <v>384</v>
      </c>
    </row>
    <row r="4" spans="1:3" ht="22.5">
      <c r="A4" s="651" t="s">
        <v>448</v>
      </c>
      <c r="B4" s="651"/>
      <c r="C4" s="651"/>
    </row>
    <row r="5" spans="1:2" ht="15.75" customHeight="1">
      <c r="A5" s="361" t="s">
        <v>386</v>
      </c>
      <c r="B5" s="361"/>
    </row>
    <row r="6" spans="1:2" ht="15.75" customHeight="1">
      <c r="A6" s="116" t="s">
        <v>331</v>
      </c>
      <c r="B6" s="116"/>
    </row>
    <row r="7" spans="1:2" ht="15.75" customHeight="1">
      <c r="A7" s="61"/>
      <c r="B7" s="116"/>
    </row>
    <row r="8" spans="1:2" ht="15.75" customHeight="1">
      <c r="A8" s="61"/>
      <c r="B8" s="116"/>
    </row>
    <row r="9" spans="1:3" ht="15.75" customHeight="1">
      <c r="A9" s="652" t="s">
        <v>564</v>
      </c>
      <c r="B9" s="652"/>
      <c r="C9" s="652"/>
    </row>
    <row r="10" spans="1:2" ht="15.75" customHeight="1">
      <c r="A10" s="61"/>
      <c r="B10" s="116"/>
    </row>
    <row r="11" spans="1:3" ht="12.75">
      <c r="A11" s="60"/>
      <c r="C11" s="362" t="s">
        <v>565</v>
      </c>
    </row>
    <row r="12" spans="1:3" s="4" customFormat="1" ht="49.5" customHeight="1">
      <c r="A12" s="157" t="s">
        <v>566</v>
      </c>
      <c r="B12" s="157" t="s">
        <v>567</v>
      </c>
      <c r="C12" s="247" t="s">
        <v>284</v>
      </c>
    </row>
    <row r="13" spans="1:3" s="1" customFormat="1" ht="15.75">
      <c r="A13" s="23">
        <v>1</v>
      </c>
      <c r="B13" s="23">
        <v>2</v>
      </c>
      <c r="C13" s="23">
        <v>3</v>
      </c>
    </row>
    <row r="14" spans="1:3" s="1" customFormat="1" ht="15.75">
      <c r="A14" s="653" t="s">
        <v>568</v>
      </c>
      <c r="B14" s="654"/>
      <c r="C14" s="655"/>
    </row>
    <row r="15" spans="1:3" s="1" customFormat="1" ht="51.75" customHeight="1">
      <c r="A15" s="156">
        <v>41051000</v>
      </c>
      <c r="B15" s="151" t="s">
        <v>307</v>
      </c>
      <c r="C15" s="363">
        <v>3079000</v>
      </c>
    </row>
    <row r="16" spans="1:3" s="1" customFormat="1" ht="27" customHeight="1">
      <c r="A16" s="156">
        <v>7100000000</v>
      </c>
      <c r="B16" s="151" t="s">
        <v>383</v>
      </c>
      <c r="C16" s="88">
        <v>3079000</v>
      </c>
    </row>
    <row r="17" spans="1:3" s="1" customFormat="1" ht="63" customHeight="1">
      <c r="A17" s="156">
        <v>41051200</v>
      </c>
      <c r="B17" s="151" t="s">
        <v>308</v>
      </c>
      <c r="C17" s="36">
        <v>2657400</v>
      </c>
    </row>
    <row r="18" spans="1:3" s="1" customFormat="1" ht="28.5" customHeight="1">
      <c r="A18" s="156">
        <v>7100000000</v>
      </c>
      <c r="B18" s="151" t="s">
        <v>383</v>
      </c>
      <c r="C18" s="36">
        <v>2657400</v>
      </c>
    </row>
    <row r="19" spans="1:3" s="1" customFormat="1" ht="64.5" customHeight="1">
      <c r="A19" s="156">
        <v>41055000</v>
      </c>
      <c r="B19" s="151" t="s">
        <v>512</v>
      </c>
      <c r="C19" s="36">
        <v>2242200</v>
      </c>
    </row>
    <row r="20" spans="1:3" s="1" customFormat="1" ht="21" customHeight="1">
      <c r="A20" s="156">
        <v>7100000000</v>
      </c>
      <c r="B20" s="151" t="s">
        <v>383</v>
      </c>
      <c r="C20" s="36">
        <f>C19</f>
        <v>2242200</v>
      </c>
    </row>
    <row r="21" spans="1:3" s="1" customFormat="1" ht="47.25">
      <c r="A21" s="214">
        <v>41040200</v>
      </c>
      <c r="B21" s="151" t="s">
        <v>511</v>
      </c>
      <c r="C21" s="36">
        <f>C22</f>
        <v>2027800</v>
      </c>
    </row>
    <row r="22" spans="1:3" s="1" customFormat="1" ht="21" customHeight="1">
      <c r="A22" s="156">
        <v>7100000000</v>
      </c>
      <c r="B22" s="151" t="s">
        <v>383</v>
      </c>
      <c r="C22" s="298">
        <v>2027800</v>
      </c>
    </row>
    <row r="23" spans="1:3" s="1" customFormat="1" ht="21" customHeight="1">
      <c r="A23" s="653" t="s">
        <v>569</v>
      </c>
      <c r="B23" s="654"/>
      <c r="C23" s="655"/>
    </row>
    <row r="24" spans="1:3" s="1" customFormat="1" ht="21" customHeight="1">
      <c r="A24" s="156"/>
      <c r="B24" s="151"/>
      <c r="C24" s="36"/>
    </row>
    <row r="25" spans="1:3" s="1" customFormat="1" ht="21" customHeight="1">
      <c r="A25" s="156" t="s">
        <v>570</v>
      </c>
      <c r="B25" s="151" t="s">
        <v>571</v>
      </c>
      <c r="C25" s="36">
        <f>C15+C17+C19+C21</f>
        <v>10006400</v>
      </c>
    </row>
    <row r="26" spans="1:3" s="1" customFormat="1" ht="21" customHeight="1">
      <c r="A26" s="156" t="s">
        <v>570</v>
      </c>
      <c r="B26" s="151" t="s">
        <v>572</v>
      </c>
      <c r="C26" s="36">
        <f>C25</f>
        <v>10006400</v>
      </c>
    </row>
    <row r="27" spans="1:3" s="1" customFormat="1" ht="21" customHeight="1">
      <c r="A27" s="156" t="s">
        <v>570</v>
      </c>
      <c r="B27" s="151" t="s">
        <v>573</v>
      </c>
      <c r="C27" s="36">
        <v>0</v>
      </c>
    </row>
    <row r="29" ht="15.75">
      <c r="D29" s="217"/>
    </row>
    <row r="30" spans="2:3" ht="15.75">
      <c r="B30" s="216" t="s">
        <v>49</v>
      </c>
      <c r="C30" s="217" t="s">
        <v>471</v>
      </c>
    </row>
    <row r="44" ht="12.75">
      <c r="B44" s="364"/>
    </row>
  </sheetData>
  <sheetProtection/>
  <mergeCells count="5">
    <mergeCell ref="B1:C1"/>
    <mergeCell ref="A4:C4"/>
    <mergeCell ref="A9:C9"/>
    <mergeCell ref="A14:C14"/>
    <mergeCell ref="A23:C23"/>
  </mergeCells>
  <printOptions/>
  <pageMargins left="0.7" right="0.7" top="0.75" bottom="0.75" header="0.3" footer="0.3"/>
  <pageSetup fitToHeight="1" fitToWidth="1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6"/>
  <sheetViews>
    <sheetView view="pageBreakPreview" zoomScale="70" zoomScaleNormal="66" zoomScaleSheetLayoutView="70" workbookViewId="0" topLeftCell="A37">
      <selection activeCell="I24" sqref="I24"/>
    </sheetView>
  </sheetViews>
  <sheetFormatPr defaultColWidth="9.00390625" defaultRowHeight="12.75"/>
  <cols>
    <col min="1" max="1" width="4.625" style="415" customWidth="1"/>
    <col min="2" max="2" width="19.00390625" style="415" customWidth="1"/>
    <col min="3" max="3" width="18.875" style="415" customWidth="1"/>
    <col min="4" max="4" width="18.75390625" style="415" customWidth="1"/>
    <col min="5" max="5" width="43.00390625" style="415" customWidth="1"/>
    <col min="6" max="6" width="54.00390625" style="415" customWidth="1"/>
    <col min="7" max="7" width="28.25390625" style="415" customWidth="1"/>
    <col min="8" max="8" width="26.25390625" style="544" customWidth="1"/>
    <col min="9" max="9" width="18.875" style="545" customWidth="1"/>
    <col min="10" max="10" width="29.00390625" style="544" customWidth="1"/>
    <col min="11" max="11" width="23.625" style="545" customWidth="1"/>
    <col min="12" max="12" width="14.00390625" style="281" bestFit="1" customWidth="1"/>
    <col min="13" max="13" width="17.25390625" style="281" bestFit="1" customWidth="1"/>
    <col min="14" max="14" width="15.75390625" style="281" bestFit="1" customWidth="1"/>
    <col min="15" max="15" width="18.125" style="281" customWidth="1"/>
    <col min="16" max="16384" width="9.125" style="281" customWidth="1"/>
  </cols>
  <sheetData>
    <row r="1" spans="2:11" ht="83.25" customHeight="1">
      <c r="B1" s="416"/>
      <c r="C1" s="416"/>
      <c r="D1" s="416"/>
      <c r="E1" s="416"/>
      <c r="F1" s="417"/>
      <c r="G1" s="417"/>
      <c r="H1" s="657" t="s">
        <v>599</v>
      </c>
      <c r="I1" s="657"/>
      <c r="J1" s="657"/>
      <c r="K1" s="657"/>
    </row>
    <row r="2" spans="2:11" ht="36.75" customHeight="1">
      <c r="B2" s="416"/>
      <c r="C2" s="416"/>
      <c r="D2" s="416"/>
      <c r="E2" s="416"/>
      <c r="F2" s="417"/>
      <c r="G2" s="382"/>
      <c r="H2" s="338" t="s">
        <v>343</v>
      </c>
      <c r="I2" s="355"/>
      <c r="J2" s="338"/>
      <c r="K2" s="355"/>
    </row>
    <row r="3" spans="2:11" ht="64.5" customHeight="1">
      <c r="B3" s="656" t="s">
        <v>621</v>
      </c>
      <c r="C3" s="656"/>
      <c r="D3" s="656"/>
      <c r="E3" s="656"/>
      <c r="F3" s="656"/>
      <c r="G3" s="656"/>
      <c r="H3" s="656"/>
      <c r="I3" s="656"/>
      <c r="J3" s="656"/>
      <c r="K3" s="656"/>
    </row>
    <row r="4" spans="2:11" s="415" customFormat="1" ht="14.25" customHeight="1">
      <c r="B4" s="416"/>
      <c r="C4" s="416"/>
      <c r="D4" s="416"/>
      <c r="E4" s="658" t="s">
        <v>386</v>
      </c>
      <c r="F4" s="658"/>
      <c r="G4" s="416"/>
      <c r="H4" s="416"/>
      <c r="I4" s="418"/>
      <c r="J4" s="416"/>
      <c r="K4" s="418"/>
    </row>
    <row r="5" spans="2:11" ht="18.75">
      <c r="B5" s="419"/>
      <c r="C5" s="420"/>
      <c r="D5" s="420"/>
      <c r="E5" s="421" t="s">
        <v>331</v>
      </c>
      <c r="F5" s="420"/>
      <c r="G5" s="420"/>
      <c r="H5" s="422"/>
      <c r="I5" s="423"/>
      <c r="J5" s="422"/>
      <c r="K5" s="424"/>
    </row>
    <row r="6" spans="2:11" ht="18.75">
      <c r="B6" s="419"/>
      <c r="C6" s="420"/>
      <c r="D6" s="420"/>
      <c r="E6" s="421"/>
      <c r="F6" s="420"/>
      <c r="G6" s="420"/>
      <c r="H6" s="422"/>
      <c r="I6" s="423"/>
      <c r="J6" s="422"/>
      <c r="K6" s="424" t="s">
        <v>89</v>
      </c>
    </row>
    <row r="7" spans="1:11" ht="153" customHeight="1">
      <c r="A7" s="425"/>
      <c r="B7" s="347" t="s">
        <v>337</v>
      </c>
      <c r="C7" s="426" t="s">
        <v>336</v>
      </c>
      <c r="D7" s="426" t="s">
        <v>335</v>
      </c>
      <c r="E7" s="426" t="s">
        <v>334</v>
      </c>
      <c r="F7" s="347" t="s">
        <v>333</v>
      </c>
      <c r="G7" s="347" t="s">
        <v>338</v>
      </c>
      <c r="H7" s="347" t="s">
        <v>339</v>
      </c>
      <c r="I7" s="350" t="s">
        <v>340</v>
      </c>
      <c r="J7" s="347" t="s">
        <v>341</v>
      </c>
      <c r="K7" s="348" t="s">
        <v>342</v>
      </c>
    </row>
    <row r="8" spans="1:11" s="432" customFormat="1" ht="18.75">
      <c r="A8" s="427"/>
      <c r="B8" s="428">
        <f>1</f>
        <v>1</v>
      </c>
      <c r="C8" s="428">
        <f aca="true" t="shared" si="0" ref="C8:J8">1+B8</f>
        <v>2</v>
      </c>
      <c r="D8" s="428">
        <f t="shared" si="0"/>
        <v>3</v>
      </c>
      <c r="E8" s="428">
        <f t="shared" si="0"/>
        <v>4</v>
      </c>
      <c r="F8" s="428">
        <f t="shared" si="0"/>
        <v>5</v>
      </c>
      <c r="G8" s="428">
        <v>6</v>
      </c>
      <c r="H8" s="429">
        <v>7</v>
      </c>
      <c r="I8" s="430">
        <f t="shared" si="0"/>
        <v>8</v>
      </c>
      <c r="J8" s="429">
        <f t="shared" si="0"/>
        <v>9</v>
      </c>
      <c r="K8" s="431">
        <v>10</v>
      </c>
    </row>
    <row r="9" spans="1:11" s="432" customFormat="1" ht="75">
      <c r="A9" s="427"/>
      <c r="B9" s="433" t="s">
        <v>227</v>
      </c>
      <c r="C9" s="434" t="s">
        <v>226</v>
      </c>
      <c r="D9" s="434" t="s">
        <v>226</v>
      </c>
      <c r="E9" s="435" t="s">
        <v>370</v>
      </c>
      <c r="F9" s="436"/>
      <c r="G9" s="437"/>
      <c r="H9" s="438">
        <f>H10</f>
        <v>147782333</v>
      </c>
      <c r="I9" s="439"/>
      <c r="J9" s="438">
        <f>J10</f>
        <v>32157727</v>
      </c>
      <c r="K9" s="440"/>
    </row>
    <row r="10" spans="1:11" s="432" customFormat="1" ht="75">
      <c r="A10" s="427"/>
      <c r="B10" s="433" t="s">
        <v>228</v>
      </c>
      <c r="C10" s="434"/>
      <c r="D10" s="434"/>
      <c r="E10" s="435" t="s">
        <v>371</v>
      </c>
      <c r="F10" s="436"/>
      <c r="G10" s="437"/>
      <c r="H10" s="441">
        <f>H11+H25+H36+H44</f>
        <v>147782333</v>
      </c>
      <c r="I10" s="439"/>
      <c r="J10" s="441">
        <f>J11+J25+J36+J44</f>
        <v>32157727</v>
      </c>
      <c r="K10" s="440"/>
    </row>
    <row r="11" spans="1:11" s="432" customFormat="1" ht="102.75" customHeight="1">
      <c r="A11" s="427"/>
      <c r="B11" s="433" t="s">
        <v>237</v>
      </c>
      <c r="C11" s="434" t="s">
        <v>86</v>
      </c>
      <c r="D11" s="434" t="s">
        <v>66</v>
      </c>
      <c r="E11" s="442" t="s">
        <v>238</v>
      </c>
      <c r="F11" s="443"/>
      <c r="G11" s="444"/>
      <c r="H11" s="351">
        <f>H12+H13+H14+H15+H17+H19+H21+H23</f>
        <v>47875521</v>
      </c>
      <c r="I11" s="352"/>
      <c r="J11" s="351">
        <f>J12+J13+J14+J15+J17+J19+J21+J23</f>
        <v>12104086</v>
      </c>
      <c r="K11" s="440"/>
    </row>
    <row r="12" spans="1:11" s="432" customFormat="1" ht="62.25" customHeight="1">
      <c r="A12" s="427"/>
      <c r="B12" s="445" t="s">
        <v>237</v>
      </c>
      <c r="C12" s="446" t="s">
        <v>86</v>
      </c>
      <c r="D12" s="446" t="s">
        <v>66</v>
      </c>
      <c r="E12" s="447" t="s">
        <v>238</v>
      </c>
      <c r="F12" s="448" t="s">
        <v>523</v>
      </c>
      <c r="G12" s="449" t="s">
        <v>466</v>
      </c>
      <c r="H12" s="359">
        <v>2237586</v>
      </c>
      <c r="I12" s="360">
        <v>67.9</v>
      </c>
      <c r="J12" s="359">
        <v>635800</v>
      </c>
      <c r="K12" s="450">
        <v>96.4</v>
      </c>
    </row>
    <row r="13" spans="1:11" s="432" customFormat="1" ht="72.75" customHeight="1">
      <c r="A13" s="427"/>
      <c r="B13" s="445" t="s">
        <v>237</v>
      </c>
      <c r="C13" s="446" t="s">
        <v>86</v>
      </c>
      <c r="D13" s="446" t="s">
        <v>66</v>
      </c>
      <c r="E13" s="451" t="s">
        <v>238</v>
      </c>
      <c r="F13" s="452" t="s">
        <v>524</v>
      </c>
      <c r="G13" s="453" t="s">
        <v>466</v>
      </c>
      <c r="H13" s="454">
        <v>4945392</v>
      </c>
      <c r="I13" s="455">
        <v>86.1</v>
      </c>
      <c r="J13" s="456">
        <v>582378</v>
      </c>
      <c r="K13" s="457">
        <v>100</v>
      </c>
    </row>
    <row r="14" spans="1:11" s="432" customFormat="1" ht="51" customHeight="1">
      <c r="A14" s="427"/>
      <c r="B14" s="445" t="s">
        <v>237</v>
      </c>
      <c r="C14" s="446" t="s">
        <v>86</v>
      </c>
      <c r="D14" s="446" t="s">
        <v>66</v>
      </c>
      <c r="E14" s="451" t="s">
        <v>238</v>
      </c>
      <c r="F14" s="458" t="s">
        <v>525</v>
      </c>
      <c r="G14" s="459" t="s">
        <v>526</v>
      </c>
      <c r="H14" s="460">
        <v>7667156</v>
      </c>
      <c r="I14" s="461">
        <v>77.5</v>
      </c>
      <c r="J14" s="462">
        <v>1185908</v>
      </c>
      <c r="K14" s="457">
        <v>93</v>
      </c>
    </row>
    <row r="15" spans="1:11" s="432" customFormat="1" ht="68.25" customHeight="1">
      <c r="A15" s="427"/>
      <c r="B15" s="445" t="s">
        <v>237</v>
      </c>
      <c r="C15" s="446" t="s">
        <v>86</v>
      </c>
      <c r="D15" s="446" t="s">
        <v>66</v>
      </c>
      <c r="E15" s="447" t="s">
        <v>238</v>
      </c>
      <c r="F15" s="554" t="s">
        <v>557</v>
      </c>
      <c r="G15" s="482" t="s">
        <v>466</v>
      </c>
      <c r="H15" s="359">
        <v>3350345</v>
      </c>
      <c r="I15" s="360">
        <v>14.9</v>
      </c>
      <c r="J15" s="538">
        <v>2000000</v>
      </c>
      <c r="K15" s="463">
        <v>74.6</v>
      </c>
    </row>
    <row r="16" spans="1:11" s="432" customFormat="1" ht="46.5" customHeight="1">
      <c r="A16" s="427"/>
      <c r="B16" s="445"/>
      <c r="C16" s="446"/>
      <c r="D16" s="446"/>
      <c r="E16" s="447"/>
      <c r="F16" s="555" t="s">
        <v>556</v>
      </c>
      <c r="G16" s="556"/>
      <c r="H16" s="556"/>
      <c r="I16" s="557"/>
      <c r="J16" s="538">
        <v>2000000</v>
      </c>
      <c r="K16" s="440"/>
    </row>
    <row r="17" spans="1:11" s="432" customFormat="1" ht="60.75" customHeight="1">
      <c r="A17" s="427"/>
      <c r="B17" s="445" t="s">
        <v>237</v>
      </c>
      <c r="C17" s="446" t="s">
        <v>86</v>
      </c>
      <c r="D17" s="446" t="s">
        <v>66</v>
      </c>
      <c r="E17" s="451" t="s">
        <v>238</v>
      </c>
      <c r="F17" s="452" t="s">
        <v>558</v>
      </c>
      <c r="G17" s="558" t="s">
        <v>466</v>
      </c>
      <c r="H17" s="559">
        <v>3763007</v>
      </c>
      <c r="I17" s="461">
        <v>3</v>
      </c>
      <c r="J17" s="470">
        <v>3000000</v>
      </c>
      <c r="K17" s="337">
        <v>82.9</v>
      </c>
    </row>
    <row r="18" spans="1:11" s="432" customFormat="1" ht="45" customHeight="1">
      <c r="A18" s="427"/>
      <c r="B18" s="445"/>
      <c r="C18" s="446"/>
      <c r="D18" s="446"/>
      <c r="E18" s="451"/>
      <c r="F18" s="555" t="s">
        <v>556</v>
      </c>
      <c r="G18" s="464"/>
      <c r="H18" s="465"/>
      <c r="I18" s="439"/>
      <c r="J18" s="560">
        <v>3000000</v>
      </c>
      <c r="K18" s="337"/>
    </row>
    <row r="19" spans="1:11" s="432" customFormat="1" ht="56.25">
      <c r="A19" s="427"/>
      <c r="B19" s="445" t="s">
        <v>237</v>
      </c>
      <c r="C19" s="446" t="s">
        <v>86</v>
      </c>
      <c r="D19" s="446" t="s">
        <v>66</v>
      </c>
      <c r="E19" s="451" t="s">
        <v>238</v>
      </c>
      <c r="F19" s="468" t="s">
        <v>559</v>
      </c>
      <c r="G19" s="561" t="s">
        <v>466</v>
      </c>
      <c r="H19" s="562">
        <v>3051663</v>
      </c>
      <c r="I19" s="461"/>
      <c r="J19" s="462">
        <v>700000</v>
      </c>
      <c r="K19" s="337">
        <v>82.1</v>
      </c>
    </row>
    <row r="20" spans="1:11" s="432" customFormat="1" ht="40.5">
      <c r="A20" s="427"/>
      <c r="B20" s="445"/>
      <c r="C20" s="446"/>
      <c r="D20" s="446"/>
      <c r="E20" s="451"/>
      <c r="F20" s="555" t="s">
        <v>556</v>
      </c>
      <c r="G20" s="464"/>
      <c r="H20" s="465"/>
      <c r="I20" s="439"/>
      <c r="J20" s="560">
        <v>700000</v>
      </c>
      <c r="K20" s="337"/>
    </row>
    <row r="21" spans="1:11" s="432" customFormat="1" ht="63.75" customHeight="1">
      <c r="A21" s="427"/>
      <c r="B21" s="445" t="s">
        <v>237</v>
      </c>
      <c r="C21" s="446" t="s">
        <v>86</v>
      </c>
      <c r="D21" s="446" t="s">
        <v>66</v>
      </c>
      <c r="E21" s="451" t="s">
        <v>238</v>
      </c>
      <c r="F21" s="468" t="s">
        <v>560</v>
      </c>
      <c r="G21" s="561" t="s">
        <v>466</v>
      </c>
      <c r="H21" s="562">
        <v>8611673</v>
      </c>
      <c r="I21" s="461"/>
      <c r="J21" s="470">
        <v>3000000</v>
      </c>
      <c r="K21" s="337">
        <v>84.4</v>
      </c>
    </row>
    <row r="22" spans="1:11" s="432" customFormat="1" ht="43.5" customHeight="1">
      <c r="A22" s="427"/>
      <c r="B22" s="445"/>
      <c r="C22" s="446"/>
      <c r="D22" s="446"/>
      <c r="E22" s="451"/>
      <c r="F22" s="555" t="s">
        <v>556</v>
      </c>
      <c r="G22" s="464"/>
      <c r="H22" s="465"/>
      <c r="I22" s="439"/>
      <c r="J22" s="560">
        <v>3000000</v>
      </c>
      <c r="K22" s="337"/>
    </row>
    <row r="23" spans="1:11" s="432" customFormat="1" ht="41.25" customHeight="1">
      <c r="A23" s="427"/>
      <c r="B23" s="445" t="s">
        <v>237</v>
      </c>
      <c r="C23" s="446" t="s">
        <v>86</v>
      </c>
      <c r="D23" s="446" t="s">
        <v>66</v>
      </c>
      <c r="E23" s="451" t="s">
        <v>238</v>
      </c>
      <c r="F23" s="468" t="s">
        <v>561</v>
      </c>
      <c r="G23" s="563" t="s">
        <v>470</v>
      </c>
      <c r="H23" s="470">
        <v>14248699</v>
      </c>
      <c r="I23" s="461"/>
      <c r="J23" s="470">
        <v>1000000</v>
      </c>
      <c r="K23" s="337">
        <v>77.8</v>
      </c>
    </row>
    <row r="24" spans="1:11" s="432" customFormat="1" ht="40.5">
      <c r="A24" s="427"/>
      <c r="B24" s="445"/>
      <c r="C24" s="446"/>
      <c r="D24" s="446"/>
      <c r="E24" s="451"/>
      <c r="F24" s="555" t="s">
        <v>556</v>
      </c>
      <c r="G24" s="464"/>
      <c r="H24" s="465"/>
      <c r="I24" s="439"/>
      <c r="J24" s="560">
        <v>1000000</v>
      </c>
      <c r="K24" s="337"/>
    </row>
    <row r="25" spans="1:11" s="432" customFormat="1" ht="37.5">
      <c r="A25" s="427"/>
      <c r="B25" s="434" t="s">
        <v>4</v>
      </c>
      <c r="C25" s="434" t="s">
        <v>263</v>
      </c>
      <c r="D25" s="466" t="s">
        <v>235</v>
      </c>
      <c r="E25" s="442" t="s">
        <v>297</v>
      </c>
      <c r="F25" s="436"/>
      <c r="G25" s="437"/>
      <c r="H25" s="438">
        <f>SUM(H26+H27+H28+H29+H31+H32)</f>
        <v>31907307</v>
      </c>
      <c r="I25" s="439"/>
      <c r="J25" s="438">
        <f>J26+J27+J28+J29+J31+J32+J34</f>
        <v>14091937</v>
      </c>
      <c r="K25" s="440"/>
    </row>
    <row r="26" spans="1:11" s="432" customFormat="1" ht="37.5">
      <c r="A26" s="427"/>
      <c r="B26" s="446" t="s">
        <v>4</v>
      </c>
      <c r="C26" s="446" t="s">
        <v>263</v>
      </c>
      <c r="D26" s="467" t="s">
        <v>235</v>
      </c>
      <c r="E26" s="451" t="s">
        <v>297</v>
      </c>
      <c r="F26" s="468" t="s">
        <v>529</v>
      </c>
      <c r="G26" s="469" t="s">
        <v>466</v>
      </c>
      <c r="H26" s="470">
        <v>6426432</v>
      </c>
      <c r="I26" s="461">
        <v>43</v>
      </c>
      <c r="J26" s="470">
        <v>3483909</v>
      </c>
      <c r="K26" s="471">
        <v>97.3</v>
      </c>
    </row>
    <row r="27" spans="1:11" s="432" customFormat="1" ht="89.25" customHeight="1">
      <c r="A27" s="427"/>
      <c r="B27" s="446" t="s">
        <v>4</v>
      </c>
      <c r="C27" s="446" t="s">
        <v>263</v>
      </c>
      <c r="D27" s="467" t="s">
        <v>235</v>
      </c>
      <c r="E27" s="451" t="s">
        <v>297</v>
      </c>
      <c r="F27" s="468" t="s">
        <v>530</v>
      </c>
      <c r="G27" s="469" t="s">
        <v>526</v>
      </c>
      <c r="H27" s="470">
        <v>12062775</v>
      </c>
      <c r="I27" s="461">
        <v>76.4</v>
      </c>
      <c r="J27" s="470">
        <v>2838985</v>
      </c>
      <c r="K27" s="471">
        <v>100</v>
      </c>
    </row>
    <row r="28" spans="1:11" s="432" customFormat="1" ht="64.5" customHeight="1">
      <c r="A28" s="427"/>
      <c r="B28" s="446" t="s">
        <v>4</v>
      </c>
      <c r="C28" s="446" t="s">
        <v>263</v>
      </c>
      <c r="D28" s="467" t="s">
        <v>235</v>
      </c>
      <c r="E28" s="451" t="s">
        <v>297</v>
      </c>
      <c r="F28" s="468" t="s">
        <v>531</v>
      </c>
      <c r="G28" s="469" t="s">
        <v>526</v>
      </c>
      <c r="H28" s="470">
        <v>4630708</v>
      </c>
      <c r="I28" s="461">
        <v>77.8</v>
      </c>
      <c r="J28" s="470">
        <v>1084350</v>
      </c>
      <c r="K28" s="471">
        <v>100</v>
      </c>
    </row>
    <row r="29" spans="1:11" s="432" customFormat="1" ht="101.25" customHeight="1">
      <c r="A29" s="427"/>
      <c r="B29" s="446" t="s">
        <v>4</v>
      </c>
      <c r="C29" s="446" t="s">
        <v>263</v>
      </c>
      <c r="D29" s="467" t="s">
        <v>235</v>
      </c>
      <c r="E29" s="451" t="s">
        <v>297</v>
      </c>
      <c r="F29" s="468" t="s">
        <v>532</v>
      </c>
      <c r="G29" s="464"/>
      <c r="H29" s="472"/>
      <c r="I29" s="473"/>
      <c r="J29" s="472">
        <v>9247</v>
      </c>
      <c r="K29" s="337"/>
    </row>
    <row r="30" spans="1:11" s="432" customFormat="1" ht="22.5" customHeight="1">
      <c r="A30" s="427"/>
      <c r="B30" s="446"/>
      <c r="C30" s="446"/>
      <c r="D30" s="467"/>
      <c r="E30" s="451"/>
      <c r="F30" s="474" t="s">
        <v>528</v>
      </c>
      <c r="G30" s="464"/>
      <c r="H30" s="472"/>
      <c r="I30" s="473"/>
      <c r="J30" s="472">
        <v>9247</v>
      </c>
      <c r="K30" s="337"/>
    </row>
    <row r="31" spans="1:11" s="432" customFormat="1" ht="85.5" customHeight="1">
      <c r="A31" s="427"/>
      <c r="B31" s="446" t="s">
        <v>4</v>
      </c>
      <c r="C31" s="446" t="s">
        <v>263</v>
      </c>
      <c r="D31" s="467" t="s">
        <v>235</v>
      </c>
      <c r="E31" s="451" t="s">
        <v>416</v>
      </c>
      <c r="F31" s="468" t="s">
        <v>533</v>
      </c>
      <c r="G31" s="469" t="s">
        <v>466</v>
      </c>
      <c r="H31" s="470">
        <v>7987392</v>
      </c>
      <c r="I31" s="461">
        <v>27.8</v>
      </c>
      <c r="J31" s="470">
        <v>5584322</v>
      </c>
      <c r="K31" s="337">
        <v>97.7</v>
      </c>
    </row>
    <row r="32" spans="1:11" s="432" customFormat="1" ht="65.25" customHeight="1">
      <c r="A32" s="427"/>
      <c r="B32" s="446" t="s">
        <v>4</v>
      </c>
      <c r="C32" s="446" t="s">
        <v>263</v>
      </c>
      <c r="D32" s="467" t="s">
        <v>235</v>
      </c>
      <c r="E32" s="451" t="s">
        <v>416</v>
      </c>
      <c r="F32" s="475" t="s">
        <v>534</v>
      </c>
      <c r="G32" s="469">
        <v>2021</v>
      </c>
      <c r="H32" s="470">
        <v>800000</v>
      </c>
      <c r="I32" s="461"/>
      <c r="J32" s="470">
        <v>800000</v>
      </c>
      <c r="K32" s="476">
        <v>100</v>
      </c>
    </row>
    <row r="33" spans="1:11" s="432" customFormat="1" ht="26.25" customHeight="1">
      <c r="A33" s="427"/>
      <c r="B33" s="433"/>
      <c r="C33" s="434"/>
      <c r="D33" s="434"/>
      <c r="E33" s="258"/>
      <c r="F33" s="474" t="s">
        <v>528</v>
      </c>
      <c r="G33" s="469"/>
      <c r="H33" s="470"/>
      <c r="I33" s="461"/>
      <c r="J33" s="470">
        <v>49900</v>
      </c>
      <c r="K33" s="476"/>
    </row>
    <row r="34" spans="1:11" s="432" customFormat="1" ht="39.75" customHeight="1">
      <c r="A34" s="427"/>
      <c r="B34" s="446" t="s">
        <v>4</v>
      </c>
      <c r="C34" s="446" t="s">
        <v>263</v>
      </c>
      <c r="D34" s="467" t="s">
        <v>235</v>
      </c>
      <c r="E34" s="451" t="s">
        <v>416</v>
      </c>
      <c r="F34" s="468" t="s">
        <v>535</v>
      </c>
      <c r="G34" s="469"/>
      <c r="H34" s="470"/>
      <c r="I34" s="461"/>
      <c r="J34" s="470">
        <v>291124</v>
      </c>
      <c r="K34" s="337"/>
    </row>
    <row r="35" spans="1:11" s="432" customFormat="1" ht="21.75" customHeight="1">
      <c r="A35" s="427"/>
      <c r="B35" s="445"/>
      <c r="C35" s="446"/>
      <c r="D35" s="446"/>
      <c r="E35" s="477"/>
      <c r="F35" s="474" t="s">
        <v>528</v>
      </c>
      <c r="G35" s="469"/>
      <c r="H35" s="470"/>
      <c r="I35" s="478"/>
      <c r="J35" s="470">
        <v>291124</v>
      </c>
      <c r="K35" s="337"/>
    </row>
    <row r="36" spans="1:14" s="432" customFormat="1" ht="37.5">
      <c r="A36" s="427"/>
      <c r="B36" s="433" t="s">
        <v>322</v>
      </c>
      <c r="C36" s="434" t="s">
        <v>268</v>
      </c>
      <c r="D36" s="434" t="s">
        <v>235</v>
      </c>
      <c r="E36" s="258" t="s">
        <v>449</v>
      </c>
      <c r="F36" s="474"/>
      <c r="G36" s="469"/>
      <c r="H36" s="349">
        <f>H37+H40+H42</f>
        <v>24266211</v>
      </c>
      <c r="I36" s="349"/>
      <c r="J36" s="349">
        <f>J37+J40+J42</f>
        <v>2673510</v>
      </c>
      <c r="K36" s="337"/>
      <c r="N36" s="479">
        <f>J39+J41+J43</f>
        <v>2653510</v>
      </c>
    </row>
    <row r="37" spans="1:11" s="432" customFormat="1" ht="66.75" customHeight="1">
      <c r="A37" s="427"/>
      <c r="B37" s="445" t="s">
        <v>322</v>
      </c>
      <c r="C37" s="446" t="s">
        <v>268</v>
      </c>
      <c r="D37" s="446" t="s">
        <v>235</v>
      </c>
      <c r="E37" s="353" t="s">
        <v>449</v>
      </c>
      <c r="F37" s="564" t="s">
        <v>536</v>
      </c>
      <c r="G37" s="469">
        <v>2021</v>
      </c>
      <c r="H37" s="460">
        <v>1186664</v>
      </c>
      <c r="I37" s="478">
        <v>0</v>
      </c>
      <c r="J37" s="470">
        <f>20000+1000000</f>
        <v>1020000</v>
      </c>
      <c r="K37" s="337">
        <v>84.3</v>
      </c>
    </row>
    <row r="38" spans="1:11" s="432" customFormat="1" ht="36" customHeight="1">
      <c r="A38" s="427"/>
      <c r="B38" s="445"/>
      <c r="C38" s="446"/>
      <c r="D38" s="480"/>
      <c r="E38" s="354"/>
      <c r="F38" s="481" t="s">
        <v>528</v>
      </c>
      <c r="G38" s="482"/>
      <c r="H38" s="359"/>
      <c r="I38" s="483"/>
      <c r="J38" s="470">
        <v>20000</v>
      </c>
      <c r="K38" s="337"/>
    </row>
    <row r="39" spans="1:11" s="432" customFormat="1" ht="54" customHeight="1">
      <c r="A39" s="427"/>
      <c r="B39" s="445"/>
      <c r="C39" s="446"/>
      <c r="D39" s="480"/>
      <c r="E39" s="354"/>
      <c r="F39" s="555" t="s">
        <v>556</v>
      </c>
      <c r="G39" s="482"/>
      <c r="H39" s="359"/>
      <c r="I39" s="483"/>
      <c r="J39" s="470">
        <v>1000000</v>
      </c>
      <c r="K39" s="337"/>
    </row>
    <row r="40" spans="1:11" s="432" customFormat="1" ht="57" customHeight="1">
      <c r="A40" s="427"/>
      <c r="B40" s="445" t="s">
        <v>322</v>
      </c>
      <c r="C40" s="446" t="s">
        <v>268</v>
      </c>
      <c r="D40" s="484" t="s">
        <v>235</v>
      </c>
      <c r="E40" s="357" t="s">
        <v>449</v>
      </c>
      <c r="F40" s="448" t="s">
        <v>562</v>
      </c>
      <c r="G40" s="565" t="s">
        <v>466</v>
      </c>
      <c r="H40" s="359">
        <v>11055050</v>
      </c>
      <c r="I40" s="350">
        <v>83</v>
      </c>
      <c r="J40" s="359">
        <v>653510</v>
      </c>
      <c r="K40" s="485">
        <v>88.9</v>
      </c>
    </row>
    <row r="41" spans="1:11" s="432" customFormat="1" ht="48.75" customHeight="1">
      <c r="A41" s="427"/>
      <c r="B41" s="445"/>
      <c r="C41" s="480"/>
      <c r="D41" s="486"/>
      <c r="E41" s="356"/>
      <c r="F41" s="346" t="s">
        <v>556</v>
      </c>
      <c r="G41" s="482"/>
      <c r="H41" s="359"/>
      <c r="I41" s="350"/>
      <c r="J41" s="359">
        <v>653510</v>
      </c>
      <c r="K41" s="485"/>
    </row>
    <row r="42" spans="1:11" s="432" customFormat="1" ht="48.75" customHeight="1">
      <c r="A42" s="427"/>
      <c r="B42" s="445" t="s">
        <v>322</v>
      </c>
      <c r="C42" s="446" t="s">
        <v>268</v>
      </c>
      <c r="D42" s="484" t="s">
        <v>235</v>
      </c>
      <c r="E42" s="357" t="s">
        <v>449</v>
      </c>
      <c r="F42" s="448" t="s">
        <v>563</v>
      </c>
      <c r="G42" s="566" t="s">
        <v>466</v>
      </c>
      <c r="H42" s="567">
        <v>12024497</v>
      </c>
      <c r="I42" s="568">
        <v>85</v>
      </c>
      <c r="J42" s="359">
        <v>1000000</v>
      </c>
      <c r="K42" s="485">
        <v>93.4</v>
      </c>
    </row>
    <row r="43" spans="1:11" s="432" customFormat="1" ht="48.75" customHeight="1">
      <c r="A43" s="427"/>
      <c r="B43" s="445"/>
      <c r="C43" s="480"/>
      <c r="D43" s="486"/>
      <c r="E43" s="356"/>
      <c r="F43" s="346" t="s">
        <v>556</v>
      </c>
      <c r="G43" s="482"/>
      <c r="H43" s="359"/>
      <c r="I43" s="350"/>
      <c r="J43" s="359">
        <v>1000000</v>
      </c>
      <c r="K43" s="485"/>
    </row>
    <row r="44" spans="1:12" s="432" customFormat="1" ht="93.75">
      <c r="A44" s="427"/>
      <c r="B44" s="433" t="s">
        <v>5</v>
      </c>
      <c r="C44" s="487" t="s">
        <v>6</v>
      </c>
      <c r="D44" s="488" t="s">
        <v>7</v>
      </c>
      <c r="E44" s="489" t="s">
        <v>8</v>
      </c>
      <c r="F44" s="490"/>
      <c r="G44" s="491"/>
      <c r="H44" s="243">
        <f>H45+H46+H47+H48</f>
        <v>43733294</v>
      </c>
      <c r="I44" s="492"/>
      <c r="J44" s="243">
        <f>J45+J46+J47+J48</f>
        <v>3288194</v>
      </c>
      <c r="K44" s="493"/>
      <c r="L44" s="494"/>
    </row>
    <row r="45" spans="1:11" s="432" customFormat="1" ht="80.25" customHeight="1">
      <c r="A45" s="427"/>
      <c r="B45" s="445" t="s">
        <v>5</v>
      </c>
      <c r="C45" s="445" t="s">
        <v>6</v>
      </c>
      <c r="D45" s="495" t="s">
        <v>7</v>
      </c>
      <c r="E45" s="496" t="s">
        <v>8</v>
      </c>
      <c r="F45" s="233" t="s">
        <v>552</v>
      </c>
      <c r="G45" s="358" t="s">
        <v>526</v>
      </c>
      <c r="H45" s="359">
        <v>6348513</v>
      </c>
      <c r="I45" s="360">
        <v>53.8</v>
      </c>
      <c r="J45" s="359">
        <v>2592521</v>
      </c>
      <c r="K45" s="485">
        <v>94.6</v>
      </c>
    </row>
    <row r="46" spans="1:11" s="432" customFormat="1" ht="79.5" customHeight="1">
      <c r="A46" s="427"/>
      <c r="B46" s="497" t="s">
        <v>5</v>
      </c>
      <c r="C46" s="497" t="s">
        <v>6</v>
      </c>
      <c r="D46" s="498" t="s">
        <v>7</v>
      </c>
      <c r="E46" s="499" t="s">
        <v>8</v>
      </c>
      <c r="F46" s="233" t="s">
        <v>553</v>
      </c>
      <c r="G46" s="358" t="s">
        <v>526</v>
      </c>
      <c r="H46" s="359">
        <v>3018163</v>
      </c>
      <c r="I46" s="360">
        <v>91.2</v>
      </c>
      <c r="J46" s="359">
        <v>164966</v>
      </c>
      <c r="K46" s="500">
        <v>100</v>
      </c>
    </row>
    <row r="47" spans="1:12" s="432" customFormat="1" ht="80.25" customHeight="1">
      <c r="A47" s="427"/>
      <c r="B47" s="497" t="s">
        <v>5</v>
      </c>
      <c r="C47" s="497" t="s">
        <v>6</v>
      </c>
      <c r="D47" s="498" t="s">
        <v>7</v>
      </c>
      <c r="E47" s="499" t="s">
        <v>8</v>
      </c>
      <c r="F47" s="233" t="s">
        <v>554</v>
      </c>
      <c r="G47" s="358" t="s">
        <v>526</v>
      </c>
      <c r="H47" s="359">
        <v>2465336</v>
      </c>
      <c r="I47" s="360">
        <v>87.7</v>
      </c>
      <c r="J47" s="359">
        <v>230707</v>
      </c>
      <c r="K47" s="501">
        <v>100</v>
      </c>
      <c r="L47" s="494"/>
    </row>
    <row r="48" spans="1:12" s="432" customFormat="1" ht="79.5" customHeight="1">
      <c r="A48" s="427"/>
      <c r="B48" s="497" t="s">
        <v>5</v>
      </c>
      <c r="C48" s="497" t="s">
        <v>6</v>
      </c>
      <c r="D48" s="498" t="s">
        <v>7</v>
      </c>
      <c r="E48" s="502" t="s">
        <v>8</v>
      </c>
      <c r="F48" s="452" t="s">
        <v>555</v>
      </c>
      <c r="G48" s="503" t="s">
        <v>526</v>
      </c>
      <c r="H48" s="454">
        <v>31901282</v>
      </c>
      <c r="I48" s="455">
        <v>80.9</v>
      </c>
      <c r="J48" s="454">
        <v>300000</v>
      </c>
      <c r="K48" s="504">
        <v>81.7</v>
      </c>
      <c r="L48" s="494"/>
    </row>
    <row r="49" spans="1:11" s="280" customFormat="1" ht="90" customHeight="1">
      <c r="A49" s="70"/>
      <c r="B49" s="228" t="s">
        <v>46</v>
      </c>
      <c r="C49" s="228" t="s">
        <v>83</v>
      </c>
      <c r="D49" s="229" t="s">
        <v>83</v>
      </c>
      <c r="E49" s="230" t="s">
        <v>610</v>
      </c>
      <c r="F49" s="505"/>
      <c r="G49" s="505"/>
      <c r="H49" s="506">
        <f>H50</f>
        <v>235636708</v>
      </c>
      <c r="I49" s="507"/>
      <c r="J49" s="506">
        <f>J50</f>
        <v>77967450</v>
      </c>
      <c r="K49" s="508"/>
    </row>
    <row r="50" spans="1:11" s="280" customFormat="1" ht="87" customHeight="1">
      <c r="A50" s="70"/>
      <c r="B50" s="228" t="s">
        <v>55</v>
      </c>
      <c r="C50" s="228"/>
      <c r="D50" s="229"/>
      <c r="E50" s="230" t="s">
        <v>611</v>
      </c>
      <c r="F50" s="505"/>
      <c r="G50" s="505"/>
      <c r="H50" s="506">
        <f>H56+H67+H73+H78+H85+H51</f>
        <v>235636708</v>
      </c>
      <c r="I50" s="507"/>
      <c r="J50" s="506">
        <f>J56+J67+J73+J78+J85+J51</f>
        <v>77967450</v>
      </c>
      <c r="K50" s="508"/>
    </row>
    <row r="51" spans="1:11" s="432" customFormat="1" ht="54.75" customHeight="1">
      <c r="A51" s="427"/>
      <c r="B51" s="433" t="s">
        <v>609</v>
      </c>
      <c r="C51" s="434" t="s">
        <v>86</v>
      </c>
      <c r="D51" s="434" t="s">
        <v>66</v>
      </c>
      <c r="E51" s="442" t="s">
        <v>238</v>
      </c>
      <c r="F51" s="443"/>
      <c r="G51" s="444"/>
      <c r="H51" s="351">
        <f>H52</f>
        <v>3065750</v>
      </c>
      <c r="I51" s="352"/>
      <c r="J51" s="351">
        <f>J52</f>
        <v>349900</v>
      </c>
      <c r="K51" s="440"/>
    </row>
    <row r="52" spans="1:13" s="432" customFormat="1" ht="66.75" customHeight="1">
      <c r="A52" s="427"/>
      <c r="B52" s="497" t="s">
        <v>609</v>
      </c>
      <c r="C52" s="484" t="s">
        <v>86</v>
      </c>
      <c r="D52" s="484" t="s">
        <v>66</v>
      </c>
      <c r="E52" s="499" t="s">
        <v>238</v>
      </c>
      <c r="F52" s="573" t="s">
        <v>527</v>
      </c>
      <c r="G52" s="574">
        <v>2021</v>
      </c>
      <c r="H52" s="575">
        <v>3065750</v>
      </c>
      <c r="I52" s="509">
        <v>0</v>
      </c>
      <c r="J52" s="576">
        <f>49900+300000</f>
        <v>349900</v>
      </c>
      <c r="K52" s="577">
        <v>9.8</v>
      </c>
      <c r="M52" s="479" t="e">
        <f>J55+#REF!+J57+J59+J61+J63</f>
        <v>#REF!</v>
      </c>
    </row>
    <row r="53" spans="1:13" s="432" customFormat="1" ht="27" customHeight="1">
      <c r="A53" s="427"/>
      <c r="B53" s="584"/>
      <c r="C53" s="486"/>
      <c r="D53" s="486"/>
      <c r="E53" s="585"/>
      <c r="F53" s="448" t="s">
        <v>613</v>
      </c>
      <c r="G53" s="659"/>
      <c r="H53" s="660"/>
      <c r="I53" s="660"/>
      <c r="J53" s="660"/>
      <c r="K53" s="661"/>
      <c r="M53" s="479"/>
    </row>
    <row r="54" spans="1:11" s="432" customFormat="1" ht="28.5" customHeight="1">
      <c r="A54" s="427"/>
      <c r="B54" s="578"/>
      <c r="C54" s="579"/>
      <c r="D54" s="579"/>
      <c r="E54" s="580"/>
      <c r="F54" s="572" t="s">
        <v>614</v>
      </c>
      <c r="G54" s="510"/>
      <c r="H54" s="511"/>
      <c r="I54" s="581"/>
      <c r="J54" s="582">
        <v>49900</v>
      </c>
      <c r="K54" s="583"/>
    </row>
    <row r="55" spans="1:11" s="432" customFormat="1" ht="46.5" customHeight="1">
      <c r="A55" s="427"/>
      <c r="B55" s="445"/>
      <c r="C55" s="446"/>
      <c r="D55" s="446"/>
      <c r="E55" s="447"/>
      <c r="F55" s="555" t="s">
        <v>615</v>
      </c>
      <c r="G55" s="513"/>
      <c r="H55" s="243"/>
      <c r="I55" s="360"/>
      <c r="J55" s="512">
        <v>300000</v>
      </c>
      <c r="K55" s="457"/>
    </row>
    <row r="56" spans="1:11" s="280" customFormat="1" ht="43.5" customHeight="1">
      <c r="A56" s="70"/>
      <c r="B56" s="228" t="s">
        <v>264</v>
      </c>
      <c r="C56" s="228" t="s">
        <v>281</v>
      </c>
      <c r="D56" s="229" t="s">
        <v>235</v>
      </c>
      <c r="E56" s="230" t="s">
        <v>270</v>
      </c>
      <c r="F56" s="505"/>
      <c r="G56" s="505"/>
      <c r="H56" s="506">
        <f>SUM(H57:H66)</f>
        <v>69862910</v>
      </c>
      <c r="I56" s="507"/>
      <c r="J56" s="506">
        <f>SUM(J57:J66)-J59</f>
        <v>35582756</v>
      </c>
      <c r="K56" s="508"/>
    </row>
    <row r="57" spans="2:11" ht="86.25" customHeight="1">
      <c r="B57" s="231" t="s">
        <v>264</v>
      </c>
      <c r="C57" s="231" t="s">
        <v>281</v>
      </c>
      <c r="D57" s="232" t="s">
        <v>235</v>
      </c>
      <c r="E57" s="233" t="s">
        <v>270</v>
      </c>
      <c r="F57" s="339" t="s">
        <v>472</v>
      </c>
      <c r="G57" s="340" t="s">
        <v>466</v>
      </c>
      <c r="H57" s="341">
        <v>15043952</v>
      </c>
      <c r="I57" s="260"/>
      <c r="J57" s="342">
        <v>15043952</v>
      </c>
      <c r="K57" s="343">
        <v>100</v>
      </c>
    </row>
    <row r="58" spans="2:11" ht="108" customHeight="1">
      <c r="B58" s="231" t="s">
        <v>264</v>
      </c>
      <c r="C58" s="231" t="s">
        <v>281</v>
      </c>
      <c r="D58" s="232" t="s">
        <v>235</v>
      </c>
      <c r="E58" s="233" t="s">
        <v>270</v>
      </c>
      <c r="F58" s="339" t="s">
        <v>465</v>
      </c>
      <c r="G58" s="340" t="s">
        <v>466</v>
      </c>
      <c r="H58" s="341">
        <v>34874954</v>
      </c>
      <c r="I58" s="260">
        <v>2.3</v>
      </c>
      <c r="J58" s="342">
        <v>594800</v>
      </c>
      <c r="K58" s="343">
        <v>3.8</v>
      </c>
    </row>
    <row r="59" spans="2:11" ht="42.75" customHeight="1">
      <c r="B59" s="231"/>
      <c r="C59" s="231"/>
      <c r="D59" s="232"/>
      <c r="E59" s="233"/>
      <c r="F59" s="346" t="s">
        <v>556</v>
      </c>
      <c r="G59" s="340"/>
      <c r="H59" s="341"/>
      <c r="I59" s="260"/>
      <c r="J59" s="342">
        <v>500000</v>
      </c>
      <c r="K59" s="343"/>
    </row>
    <row r="60" spans="2:11" ht="62.25" customHeight="1">
      <c r="B60" s="231" t="s">
        <v>264</v>
      </c>
      <c r="C60" s="231" t="s">
        <v>281</v>
      </c>
      <c r="D60" s="232" t="s">
        <v>235</v>
      </c>
      <c r="E60" s="233" t="s">
        <v>270</v>
      </c>
      <c r="F60" s="339" t="s">
        <v>473</v>
      </c>
      <c r="G60" s="340">
        <v>2021</v>
      </c>
      <c r="H60" s="514">
        <v>450000</v>
      </c>
      <c r="I60" s="261"/>
      <c r="J60" s="515">
        <v>450000</v>
      </c>
      <c r="K60" s="344">
        <v>100</v>
      </c>
    </row>
    <row r="61" spans="2:11" ht="66.75" customHeight="1">
      <c r="B61" s="231" t="s">
        <v>264</v>
      </c>
      <c r="C61" s="231" t="s">
        <v>281</v>
      </c>
      <c r="D61" s="232" t="s">
        <v>235</v>
      </c>
      <c r="E61" s="233" t="s">
        <v>270</v>
      </c>
      <c r="F61" s="339" t="s">
        <v>474</v>
      </c>
      <c r="G61" s="340">
        <v>2021</v>
      </c>
      <c r="H61" s="341">
        <v>1700000</v>
      </c>
      <c r="I61" s="261"/>
      <c r="J61" s="515">
        <v>1700000</v>
      </c>
      <c r="K61" s="344">
        <v>100</v>
      </c>
    </row>
    <row r="62" spans="2:11" ht="87.75" customHeight="1">
      <c r="B62" s="231" t="s">
        <v>264</v>
      </c>
      <c r="C62" s="231" t="s">
        <v>281</v>
      </c>
      <c r="D62" s="232" t="s">
        <v>235</v>
      </c>
      <c r="E62" s="233" t="s">
        <v>270</v>
      </c>
      <c r="F62" s="339" t="s">
        <v>475</v>
      </c>
      <c r="G62" s="340">
        <v>2021</v>
      </c>
      <c r="H62" s="341">
        <v>1500000</v>
      </c>
      <c r="I62" s="261"/>
      <c r="J62" s="515">
        <v>1500000</v>
      </c>
      <c r="K62" s="344">
        <v>100</v>
      </c>
    </row>
    <row r="63" spans="2:11" ht="75" customHeight="1">
      <c r="B63" s="231" t="s">
        <v>264</v>
      </c>
      <c r="C63" s="231" t="s">
        <v>281</v>
      </c>
      <c r="D63" s="232" t="s">
        <v>235</v>
      </c>
      <c r="E63" s="233" t="s">
        <v>270</v>
      </c>
      <c r="F63" s="339" t="s">
        <v>476</v>
      </c>
      <c r="G63" s="340">
        <v>2021</v>
      </c>
      <c r="H63" s="341">
        <v>730000</v>
      </c>
      <c r="I63" s="261"/>
      <c r="J63" s="515">
        <v>730000</v>
      </c>
      <c r="K63" s="344">
        <v>100</v>
      </c>
    </row>
    <row r="64" spans="2:11" ht="111.75" customHeight="1">
      <c r="B64" s="231" t="s">
        <v>264</v>
      </c>
      <c r="C64" s="231" t="s">
        <v>281</v>
      </c>
      <c r="D64" s="232" t="s">
        <v>235</v>
      </c>
      <c r="E64" s="233" t="s">
        <v>270</v>
      </c>
      <c r="F64" s="339" t="s">
        <v>477</v>
      </c>
      <c r="G64" s="340">
        <v>2021</v>
      </c>
      <c r="H64" s="341">
        <v>3000000</v>
      </c>
      <c r="I64" s="261"/>
      <c r="J64" s="515">
        <v>3000000</v>
      </c>
      <c r="K64" s="344">
        <v>100</v>
      </c>
    </row>
    <row r="65" spans="2:11" ht="75" customHeight="1">
      <c r="B65" s="231" t="s">
        <v>264</v>
      </c>
      <c r="C65" s="231" t="s">
        <v>281</v>
      </c>
      <c r="D65" s="232" t="s">
        <v>235</v>
      </c>
      <c r="E65" s="233" t="s">
        <v>270</v>
      </c>
      <c r="F65" s="339" t="s">
        <v>478</v>
      </c>
      <c r="G65" s="340">
        <v>2021</v>
      </c>
      <c r="H65" s="341">
        <v>3000000</v>
      </c>
      <c r="I65" s="261"/>
      <c r="J65" s="515">
        <v>3000000</v>
      </c>
      <c r="K65" s="344">
        <v>100</v>
      </c>
    </row>
    <row r="66" spans="2:11" ht="93.75" customHeight="1">
      <c r="B66" s="231" t="s">
        <v>264</v>
      </c>
      <c r="C66" s="516" t="s">
        <v>281</v>
      </c>
      <c r="D66" s="232" t="s">
        <v>235</v>
      </c>
      <c r="E66" s="517" t="s">
        <v>270</v>
      </c>
      <c r="F66" s="339" t="s">
        <v>479</v>
      </c>
      <c r="G66" s="340">
        <v>2021</v>
      </c>
      <c r="H66" s="341">
        <v>9564004</v>
      </c>
      <c r="I66" s="261"/>
      <c r="J66" s="234">
        <v>9564004</v>
      </c>
      <c r="K66" s="344">
        <v>100</v>
      </c>
    </row>
    <row r="67" spans="1:11" s="280" customFormat="1" ht="37.5">
      <c r="A67" s="70"/>
      <c r="B67" s="228" t="s">
        <v>265</v>
      </c>
      <c r="C67" s="228" t="s">
        <v>282</v>
      </c>
      <c r="D67" s="229" t="s">
        <v>235</v>
      </c>
      <c r="E67" s="230" t="s">
        <v>283</v>
      </c>
      <c r="F67" s="505"/>
      <c r="G67" s="507"/>
      <c r="H67" s="506">
        <f>H68+H69+H70+H71+H72</f>
        <v>20647316</v>
      </c>
      <c r="I67" s="507"/>
      <c r="J67" s="506">
        <f>J68+J69+J70+J71+J72</f>
        <v>8634794</v>
      </c>
      <c r="K67" s="508"/>
    </row>
    <row r="68" spans="2:14" ht="65.25" customHeight="1">
      <c r="B68" s="231" t="s">
        <v>265</v>
      </c>
      <c r="C68" s="231" t="s">
        <v>282</v>
      </c>
      <c r="D68" s="232" t="s">
        <v>235</v>
      </c>
      <c r="E68" s="233" t="s">
        <v>283</v>
      </c>
      <c r="F68" s="339" t="s">
        <v>480</v>
      </c>
      <c r="G68" s="518" t="s">
        <v>466</v>
      </c>
      <c r="H68" s="248">
        <v>694174</v>
      </c>
      <c r="I68" s="519">
        <v>6.8</v>
      </c>
      <c r="J68" s="248">
        <v>647074</v>
      </c>
      <c r="K68" s="520">
        <v>100</v>
      </c>
      <c r="N68" s="521">
        <f>J59+N76</f>
        <v>10000000</v>
      </c>
    </row>
    <row r="69" spans="2:11" ht="68.25" customHeight="1">
      <c r="B69" s="231" t="s">
        <v>265</v>
      </c>
      <c r="C69" s="231" t="s">
        <v>282</v>
      </c>
      <c r="D69" s="232" t="s">
        <v>235</v>
      </c>
      <c r="E69" s="233" t="s">
        <v>283</v>
      </c>
      <c r="F69" s="339" t="s">
        <v>481</v>
      </c>
      <c r="G69" s="518" t="s">
        <v>466</v>
      </c>
      <c r="H69" s="248">
        <v>1135536</v>
      </c>
      <c r="I69" s="519">
        <v>4.2</v>
      </c>
      <c r="J69" s="234">
        <v>1087836</v>
      </c>
      <c r="K69" s="520">
        <v>100</v>
      </c>
    </row>
    <row r="70" spans="2:11" ht="94.5" customHeight="1">
      <c r="B70" s="231" t="s">
        <v>265</v>
      </c>
      <c r="C70" s="231" t="s">
        <v>282</v>
      </c>
      <c r="D70" s="232" t="s">
        <v>235</v>
      </c>
      <c r="E70" s="233" t="s">
        <v>283</v>
      </c>
      <c r="F70" s="339" t="s">
        <v>482</v>
      </c>
      <c r="G70" s="518">
        <v>2021</v>
      </c>
      <c r="H70" s="248">
        <v>500000</v>
      </c>
      <c r="I70" s="519"/>
      <c r="J70" s="248">
        <v>500000</v>
      </c>
      <c r="K70" s="520">
        <v>100</v>
      </c>
    </row>
    <row r="71" spans="2:11" ht="93" customHeight="1">
      <c r="B71" s="231" t="s">
        <v>265</v>
      </c>
      <c r="C71" s="231" t="s">
        <v>282</v>
      </c>
      <c r="D71" s="232" t="s">
        <v>235</v>
      </c>
      <c r="E71" s="233" t="s">
        <v>283</v>
      </c>
      <c r="F71" s="339" t="s">
        <v>483</v>
      </c>
      <c r="G71" s="518">
        <v>2021</v>
      </c>
      <c r="H71" s="248">
        <v>500000</v>
      </c>
      <c r="I71" s="519"/>
      <c r="J71" s="248">
        <v>500000</v>
      </c>
      <c r="K71" s="520">
        <v>100</v>
      </c>
    </row>
    <row r="72" spans="2:11" ht="111" customHeight="1">
      <c r="B72" s="231" t="s">
        <v>265</v>
      </c>
      <c r="C72" s="231" t="s">
        <v>282</v>
      </c>
      <c r="D72" s="232" t="s">
        <v>235</v>
      </c>
      <c r="E72" s="233" t="s">
        <v>283</v>
      </c>
      <c r="F72" s="339" t="s">
        <v>484</v>
      </c>
      <c r="G72" s="518" t="s">
        <v>466</v>
      </c>
      <c r="H72" s="248">
        <v>17817606</v>
      </c>
      <c r="I72" s="519">
        <v>66.9</v>
      </c>
      <c r="J72" s="248">
        <v>5899884</v>
      </c>
      <c r="K72" s="520">
        <v>100</v>
      </c>
    </row>
    <row r="73" spans="1:11" s="280" customFormat="1" ht="42" customHeight="1">
      <c r="A73" s="70"/>
      <c r="B73" s="228" t="s">
        <v>267</v>
      </c>
      <c r="C73" s="228" t="s">
        <v>266</v>
      </c>
      <c r="D73" s="229" t="s">
        <v>235</v>
      </c>
      <c r="E73" s="235" t="s">
        <v>0</v>
      </c>
      <c r="F73" s="230"/>
      <c r="G73" s="347"/>
      <c r="H73" s="506">
        <f>H74+H75</f>
        <v>2500000</v>
      </c>
      <c r="I73" s="507"/>
      <c r="J73" s="506">
        <f>SUM(J74:J76)</f>
        <v>2600000</v>
      </c>
      <c r="K73" s="508"/>
    </row>
    <row r="74" spans="2:11" ht="74.25" customHeight="1">
      <c r="B74" s="231" t="s">
        <v>267</v>
      </c>
      <c r="C74" s="231" t="s">
        <v>266</v>
      </c>
      <c r="D74" s="232" t="s">
        <v>235</v>
      </c>
      <c r="E74" s="236" t="s">
        <v>0</v>
      </c>
      <c r="F74" s="522" t="s">
        <v>485</v>
      </c>
      <c r="G74" s="523">
        <v>2021</v>
      </c>
      <c r="H74" s="237">
        <v>1600000</v>
      </c>
      <c r="I74" s="524"/>
      <c r="J74" s="237">
        <v>1600000</v>
      </c>
      <c r="K74" s="345">
        <v>100</v>
      </c>
    </row>
    <row r="75" spans="2:11" ht="74.25" customHeight="1">
      <c r="B75" s="231" t="s">
        <v>267</v>
      </c>
      <c r="C75" s="231" t="s">
        <v>266</v>
      </c>
      <c r="D75" s="232" t="s">
        <v>235</v>
      </c>
      <c r="E75" s="236" t="s">
        <v>0</v>
      </c>
      <c r="F75" s="522" t="s">
        <v>486</v>
      </c>
      <c r="G75" s="523">
        <v>2021</v>
      </c>
      <c r="H75" s="237">
        <v>900000</v>
      </c>
      <c r="I75" s="524"/>
      <c r="J75" s="237">
        <v>900000</v>
      </c>
      <c r="K75" s="345">
        <v>100</v>
      </c>
    </row>
    <row r="76" spans="2:14" ht="128.25" customHeight="1">
      <c r="B76" s="231" t="s">
        <v>267</v>
      </c>
      <c r="C76" s="231" t="s">
        <v>266</v>
      </c>
      <c r="D76" s="232" t="s">
        <v>235</v>
      </c>
      <c r="E76" s="236" t="s">
        <v>0</v>
      </c>
      <c r="F76" s="339" t="s">
        <v>487</v>
      </c>
      <c r="G76" s="523"/>
      <c r="H76" s="237"/>
      <c r="I76" s="524"/>
      <c r="J76" s="237">
        <v>100000</v>
      </c>
      <c r="K76" s="345"/>
      <c r="N76" s="525">
        <f>J80+J82+J84</f>
        <v>9500000</v>
      </c>
    </row>
    <row r="77" spans="2:14" ht="20.25">
      <c r="B77" s="231"/>
      <c r="C77" s="231"/>
      <c r="D77" s="232"/>
      <c r="E77" s="236"/>
      <c r="F77" s="533" t="s">
        <v>528</v>
      </c>
      <c r="G77" s="523"/>
      <c r="H77" s="237"/>
      <c r="I77" s="524"/>
      <c r="J77" s="237">
        <v>100000</v>
      </c>
      <c r="K77" s="345"/>
      <c r="N77" s="525"/>
    </row>
    <row r="78" spans="1:11" s="280" customFormat="1" ht="56.25">
      <c r="A78" s="70"/>
      <c r="B78" s="228" t="s">
        <v>2</v>
      </c>
      <c r="C78" s="228" t="s">
        <v>3</v>
      </c>
      <c r="D78" s="229" t="s">
        <v>235</v>
      </c>
      <c r="E78" s="235" t="s">
        <v>1</v>
      </c>
      <c r="F78" s="230"/>
      <c r="G78" s="347"/>
      <c r="H78" s="506">
        <f>H79+H81+H83</f>
        <v>81848107</v>
      </c>
      <c r="I78" s="507"/>
      <c r="J78" s="506">
        <f>J79+J81+J83</f>
        <v>9500000</v>
      </c>
      <c r="K78" s="508"/>
    </row>
    <row r="79" spans="2:11" ht="69.75" customHeight="1">
      <c r="B79" s="231" t="s">
        <v>2</v>
      </c>
      <c r="C79" s="231" t="s">
        <v>3</v>
      </c>
      <c r="D79" s="232" t="s">
        <v>235</v>
      </c>
      <c r="E79" s="236" t="s">
        <v>1</v>
      </c>
      <c r="F79" s="346" t="s">
        <v>467</v>
      </c>
      <c r="G79" s="527" t="s">
        <v>466</v>
      </c>
      <c r="H79" s="248">
        <v>20031212</v>
      </c>
      <c r="I79" s="519">
        <v>82</v>
      </c>
      <c r="J79" s="248">
        <v>2500000</v>
      </c>
      <c r="K79" s="520"/>
    </row>
    <row r="80" spans="2:11" ht="52.5" customHeight="1">
      <c r="B80" s="231"/>
      <c r="C80" s="231"/>
      <c r="D80" s="232"/>
      <c r="E80" s="236"/>
      <c r="F80" s="346" t="s">
        <v>556</v>
      </c>
      <c r="G80" s="527"/>
      <c r="H80" s="248"/>
      <c r="I80" s="519"/>
      <c r="J80" s="248">
        <v>2500000</v>
      </c>
      <c r="K80" s="520"/>
    </row>
    <row r="81" spans="2:11" ht="63.75" customHeight="1">
      <c r="B81" s="231" t="s">
        <v>2</v>
      </c>
      <c r="C81" s="231" t="s">
        <v>3</v>
      </c>
      <c r="D81" s="232" t="s">
        <v>235</v>
      </c>
      <c r="E81" s="236" t="s">
        <v>1</v>
      </c>
      <c r="F81" s="346" t="s">
        <v>468</v>
      </c>
      <c r="G81" s="527" t="s">
        <v>470</v>
      </c>
      <c r="H81" s="248">
        <v>38271930</v>
      </c>
      <c r="I81" s="519">
        <v>91</v>
      </c>
      <c r="J81" s="248">
        <v>2000000</v>
      </c>
      <c r="K81" s="520"/>
    </row>
    <row r="82" spans="2:11" ht="46.5" customHeight="1">
      <c r="B82" s="231"/>
      <c r="C82" s="231"/>
      <c r="D82" s="232"/>
      <c r="E82" s="236"/>
      <c r="F82" s="346" t="s">
        <v>556</v>
      </c>
      <c r="G82" s="527"/>
      <c r="H82" s="248"/>
      <c r="I82" s="519"/>
      <c r="J82" s="248">
        <v>2000000</v>
      </c>
      <c r="K82" s="520"/>
    </row>
    <row r="83" spans="2:11" ht="87.75" customHeight="1">
      <c r="B83" s="231" t="s">
        <v>2</v>
      </c>
      <c r="C83" s="231" t="s">
        <v>3</v>
      </c>
      <c r="D83" s="232" t="s">
        <v>235</v>
      </c>
      <c r="E83" s="236" t="s">
        <v>1</v>
      </c>
      <c r="F83" s="346" t="s">
        <v>469</v>
      </c>
      <c r="G83" s="527" t="s">
        <v>466</v>
      </c>
      <c r="H83" s="248">
        <v>23544965</v>
      </c>
      <c r="I83" s="519">
        <v>78.8</v>
      </c>
      <c r="J83" s="248">
        <v>5000000</v>
      </c>
      <c r="K83" s="520"/>
    </row>
    <row r="84" spans="2:11" ht="52.5" customHeight="1">
      <c r="B84" s="231"/>
      <c r="C84" s="231"/>
      <c r="D84" s="232"/>
      <c r="E84" s="236"/>
      <c r="F84" s="346" t="s">
        <v>556</v>
      </c>
      <c r="G84" s="527"/>
      <c r="H84" s="248"/>
      <c r="I84" s="519"/>
      <c r="J84" s="248">
        <v>5000000</v>
      </c>
      <c r="K84" s="520"/>
    </row>
    <row r="85" spans="1:11" s="280" customFormat="1" ht="37.5">
      <c r="A85" s="70"/>
      <c r="B85" s="228" t="s">
        <v>269</v>
      </c>
      <c r="C85" s="229" t="s">
        <v>268</v>
      </c>
      <c r="D85" s="238" t="s">
        <v>235</v>
      </c>
      <c r="E85" s="239" t="s">
        <v>608</v>
      </c>
      <c r="F85" s="230"/>
      <c r="G85" s="347"/>
      <c r="H85" s="506">
        <f>SUM(H86:H119)</f>
        <v>57712625</v>
      </c>
      <c r="I85" s="507"/>
      <c r="J85" s="506">
        <f>J86+J88+J90+J92+J94+J96+J98+J100+J102+J104+J106+J108+J110+J112+J114+J116+J118+J87</f>
        <v>21300000</v>
      </c>
      <c r="K85" s="508"/>
    </row>
    <row r="86" spans="2:11" ht="69" customHeight="1">
      <c r="B86" s="240" t="s">
        <v>269</v>
      </c>
      <c r="C86" s="241" t="s">
        <v>268</v>
      </c>
      <c r="D86" s="241" t="s">
        <v>235</v>
      </c>
      <c r="E86" s="413" t="s">
        <v>608</v>
      </c>
      <c r="F86" s="414" t="s">
        <v>489</v>
      </c>
      <c r="G86" s="528" t="s">
        <v>466</v>
      </c>
      <c r="H86" s="242">
        <v>39324208</v>
      </c>
      <c r="I86" s="261">
        <v>87.3</v>
      </c>
      <c r="J86" s="234">
        <v>5000000</v>
      </c>
      <c r="K86" s="344">
        <v>100</v>
      </c>
    </row>
    <row r="87" spans="2:11" ht="96.75" customHeight="1">
      <c r="B87" s="240" t="s">
        <v>269</v>
      </c>
      <c r="C87" s="241" t="s">
        <v>268</v>
      </c>
      <c r="D87" s="241" t="s">
        <v>235</v>
      </c>
      <c r="E87" s="413" t="s">
        <v>608</v>
      </c>
      <c r="F87" s="526" t="s">
        <v>488</v>
      </c>
      <c r="G87" s="518" t="s">
        <v>466</v>
      </c>
      <c r="H87" s="248">
        <v>3788417</v>
      </c>
      <c r="I87" s="519">
        <v>55.1</v>
      </c>
      <c r="J87" s="248">
        <v>1700000</v>
      </c>
      <c r="K87" s="520">
        <v>100</v>
      </c>
    </row>
    <row r="88" spans="1:11" s="432" customFormat="1" ht="38.25" customHeight="1">
      <c r="A88" s="427"/>
      <c r="B88" s="240" t="s">
        <v>269</v>
      </c>
      <c r="C88" s="446" t="s">
        <v>268</v>
      </c>
      <c r="D88" s="480" t="s">
        <v>235</v>
      </c>
      <c r="E88" s="259" t="s">
        <v>449</v>
      </c>
      <c r="F88" s="529" t="s">
        <v>537</v>
      </c>
      <c r="G88" s="482">
        <v>2021</v>
      </c>
      <c r="H88" s="359">
        <v>660000</v>
      </c>
      <c r="I88" s="483">
        <v>0</v>
      </c>
      <c r="J88" s="470">
        <v>660000</v>
      </c>
      <c r="K88" s="337">
        <v>100</v>
      </c>
    </row>
    <row r="89" spans="1:11" s="432" customFormat="1" ht="29.25" customHeight="1">
      <c r="A89" s="427"/>
      <c r="B89" s="445"/>
      <c r="C89" s="446"/>
      <c r="D89" s="446"/>
      <c r="E89" s="530"/>
      <c r="F89" s="531" t="s">
        <v>528</v>
      </c>
      <c r="G89" s="532"/>
      <c r="H89" s="454"/>
      <c r="I89" s="478"/>
      <c r="J89" s="470">
        <v>49900</v>
      </c>
      <c r="K89" s="337"/>
    </row>
    <row r="90" spans="1:11" s="432" customFormat="1" ht="48" customHeight="1">
      <c r="A90" s="427"/>
      <c r="B90" s="240" t="s">
        <v>269</v>
      </c>
      <c r="C90" s="446" t="s">
        <v>268</v>
      </c>
      <c r="D90" s="446" t="s">
        <v>235</v>
      </c>
      <c r="E90" s="259" t="s">
        <v>449</v>
      </c>
      <c r="F90" s="475" t="s">
        <v>538</v>
      </c>
      <c r="G90" s="469">
        <v>2021</v>
      </c>
      <c r="H90" s="470">
        <v>2500000</v>
      </c>
      <c r="I90" s="478">
        <v>0</v>
      </c>
      <c r="J90" s="470">
        <v>2500000</v>
      </c>
      <c r="K90" s="337">
        <v>100</v>
      </c>
    </row>
    <row r="91" spans="1:11" s="432" customFormat="1" ht="41.25" customHeight="1">
      <c r="A91" s="427"/>
      <c r="B91" s="445"/>
      <c r="C91" s="446"/>
      <c r="D91" s="446"/>
      <c r="E91" s="477"/>
      <c r="F91" s="533" t="s">
        <v>528</v>
      </c>
      <c r="G91" s="469"/>
      <c r="H91" s="470"/>
      <c r="I91" s="478"/>
      <c r="J91" s="470">
        <v>49900</v>
      </c>
      <c r="K91" s="337"/>
    </row>
    <row r="92" spans="1:11" s="432" customFormat="1" ht="39.75" customHeight="1">
      <c r="A92" s="427"/>
      <c r="B92" s="240" t="s">
        <v>269</v>
      </c>
      <c r="C92" s="446" t="s">
        <v>268</v>
      </c>
      <c r="D92" s="446" t="s">
        <v>235</v>
      </c>
      <c r="E92" s="259" t="s">
        <v>449</v>
      </c>
      <c r="F92" s="475" t="s">
        <v>539</v>
      </c>
      <c r="G92" s="469">
        <v>2021</v>
      </c>
      <c r="H92" s="470">
        <v>700000</v>
      </c>
      <c r="I92" s="478">
        <v>0</v>
      </c>
      <c r="J92" s="470">
        <v>700000</v>
      </c>
      <c r="K92" s="337">
        <v>100</v>
      </c>
    </row>
    <row r="93" spans="1:11" s="432" customFormat="1" ht="18.75">
      <c r="A93" s="427"/>
      <c r="B93" s="445"/>
      <c r="C93" s="446"/>
      <c r="D93" s="446"/>
      <c r="E93" s="477"/>
      <c r="F93" s="533" t="s">
        <v>528</v>
      </c>
      <c r="G93" s="469"/>
      <c r="H93" s="470"/>
      <c r="I93" s="478"/>
      <c r="J93" s="470">
        <v>49900</v>
      </c>
      <c r="K93" s="337"/>
    </row>
    <row r="94" spans="1:11" s="432" customFormat="1" ht="45.75" customHeight="1">
      <c r="A94" s="427"/>
      <c r="B94" s="240" t="s">
        <v>269</v>
      </c>
      <c r="C94" s="446" t="s">
        <v>268</v>
      </c>
      <c r="D94" s="446" t="s">
        <v>235</v>
      </c>
      <c r="E94" s="259" t="s">
        <v>449</v>
      </c>
      <c r="F94" s="475" t="s">
        <v>540</v>
      </c>
      <c r="G94" s="469">
        <v>2021</v>
      </c>
      <c r="H94" s="470">
        <v>949000</v>
      </c>
      <c r="I94" s="478">
        <v>0</v>
      </c>
      <c r="J94" s="470">
        <v>949000</v>
      </c>
      <c r="K94" s="337">
        <v>100</v>
      </c>
    </row>
    <row r="95" spans="1:11" s="432" customFormat="1" ht="46.5" customHeight="1">
      <c r="A95" s="427"/>
      <c r="B95" s="445"/>
      <c r="C95" s="446"/>
      <c r="D95" s="446"/>
      <c r="E95" s="477"/>
      <c r="F95" s="533" t="s">
        <v>528</v>
      </c>
      <c r="G95" s="469"/>
      <c r="H95" s="470"/>
      <c r="I95" s="478"/>
      <c r="J95" s="470">
        <v>49900</v>
      </c>
      <c r="K95" s="337"/>
    </row>
    <row r="96" spans="1:11" s="432" customFormat="1" ht="61.5" customHeight="1">
      <c r="A96" s="427"/>
      <c r="B96" s="240" t="s">
        <v>269</v>
      </c>
      <c r="C96" s="446" t="s">
        <v>268</v>
      </c>
      <c r="D96" s="446" t="s">
        <v>235</v>
      </c>
      <c r="E96" s="259" t="s">
        <v>449</v>
      </c>
      <c r="F96" s="475" t="s">
        <v>541</v>
      </c>
      <c r="G96" s="469">
        <v>2021</v>
      </c>
      <c r="H96" s="470">
        <v>1009324</v>
      </c>
      <c r="I96" s="478">
        <v>0</v>
      </c>
      <c r="J96" s="470">
        <v>1009324</v>
      </c>
      <c r="K96" s="337">
        <v>100</v>
      </c>
    </row>
    <row r="97" spans="1:11" s="432" customFormat="1" ht="40.5" customHeight="1">
      <c r="A97" s="427"/>
      <c r="B97" s="445"/>
      <c r="C97" s="446"/>
      <c r="D97" s="446"/>
      <c r="E97" s="477"/>
      <c r="F97" s="533" t="s">
        <v>528</v>
      </c>
      <c r="G97" s="469"/>
      <c r="H97" s="470"/>
      <c r="I97" s="478"/>
      <c r="J97" s="470">
        <v>49900</v>
      </c>
      <c r="K97" s="337"/>
    </row>
    <row r="98" spans="1:11" s="432" customFormat="1" ht="49.5" customHeight="1">
      <c r="A98" s="427"/>
      <c r="B98" s="240" t="s">
        <v>269</v>
      </c>
      <c r="C98" s="446" t="s">
        <v>268</v>
      </c>
      <c r="D98" s="446" t="s">
        <v>235</v>
      </c>
      <c r="E98" s="259" t="s">
        <v>449</v>
      </c>
      <c r="F98" s="534" t="s">
        <v>542</v>
      </c>
      <c r="G98" s="469">
        <v>2021</v>
      </c>
      <c r="H98" s="470">
        <v>303200</v>
      </c>
      <c r="I98" s="478">
        <v>0</v>
      </c>
      <c r="J98" s="470">
        <v>303200</v>
      </c>
      <c r="K98" s="337">
        <v>100</v>
      </c>
    </row>
    <row r="99" spans="1:11" s="432" customFormat="1" ht="33.75" customHeight="1">
      <c r="A99" s="427"/>
      <c r="B99" s="445"/>
      <c r="C99" s="446"/>
      <c r="D99" s="446"/>
      <c r="E99" s="477"/>
      <c r="F99" s="481" t="s">
        <v>528</v>
      </c>
      <c r="G99" s="535"/>
      <c r="H99" s="470"/>
      <c r="I99" s="478"/>
      <c r="J99" s="470">
        <v>49900</v>
      </c>
      <c r="K99" s="337"/>
    </row>
    <row r="100" spans="1:12" s="432" customFormat="1" ht="47.25" customHeight="1">
      <c r="A100" s="427"/>
      <c r="B100" s="240" t="s">
        <v>269</v>
      </c>
      <c r="C100" s="446" t="s">
        <v>268</v>
      </c>
      <c r="D100" s="446" t="s">
        <v>235</v>
      </c>
      <c r="E100" s="259" t="s">
        <v>449</v>
      </c>
      <c r="F100" s="475" t="s">
        <v>543</v>
      </c>
      <c r="G100" s="535">
        <v>2021</v>
      </c>
      <c r="H100" s="470">
        <v>439640</v>
      </c>
      <c r="I100" s="478">
        <v>0</v>
      </c>
      <c r="J100" s="470">
        <v>439640</v>
      </c>
      <c r="K100" s="337">
        <v>100</v>
      </c>
      <c r="L100" s="432" t="e">
        <f>#REF!-J100</f>
        <v>#REF!</v>
      </c>
    </row>
    <row r="101" spans="1:11" s="432" customFormat="1" ht="31.5" customHeight="1">
      <c r="A101" s="427"/>
      <c r="B101" s="445"/>
      <c r="C101" s="446"/>
      <c r="D101" s="446"/>
      <c r="E101" s="477"/>
      <c r="F101" s="481" t="s">
        <v>528</v>
      </c>
      <c r="G101" s="535"/>
      <c r="H101" s="470"/>
      <c r="I101" s="478"/>
      <c r="J101" s="470">
        <v>49900</v>
      </c>
      <c r="K101" s="337"/>
    </row>
    <row r="102" spans="1:11" s="432" customFormat="1" ht="52.5" customHeight="1">
      <c r="A102" s="427"/>
      <c r="B102" s="240" t="s">
        <v>269</v>
      </c>
      <c r="C102" s="446" t="s">
        <v>268</v>
      </c>
      <c r="D102" s="446" t="s">
        <v>235</v>
      </c>
      <c r="E102" s="259" t="s">
        <v>449</v>
      </c>
      <c r="F102" s="475" t="s">
        <v>544</v>
      </c>
      <c r="G102" s="535">
        <v>2021</v>
      </c>
      <c r="H102" s="470">
        <v>985000</v>
      </c>
      <c r="I102" s="478">
        <v>0</v>
      </c>
      <c r="J102" s="470">
        <v>985000</v>
      </c>
      <c r="K102" s="337">
        <v>100</v>
      </c>
    </row>
    <row r="103" spans="1:11" s="432" customFormat="1" ht="39.75" customHeight="1">
      <c r="A103" s="427"/>
      <c r="B103" s="445"/>
      <c r="C103" s="446"/>
      <c r="D103" s="446"/>
      <c r="E103" s="477"/>
      <c r="F103" s="481" t="s">
        <v>528</v>
      </c>
      <c r="G103" s="469"/>
      <c r="H103" s="470"/>
      <c r="I103" s="478"/>
      <c r="J103" s="470">
        <v>49900</v>
      </c>
      <c r="K103" s="337"/>
    </row>
    <row r="104" spans="1:11" s="432" customFormat="1" ht="61.5" customHeight="1">
      <c r="A104" s="427"/>
      <c r="B104" s="240" t="s">
        <v>269</v>
      </c>
      <c r="C104" s="446" t="s">
        <v>268</v>
      </c>
      <c r="D104" s="446" t="s">
        <v>235</v>
      </c>
      <c r="E104" s="259" t="s">
        <v>449</v>
      </c>
      <c r="F104" s="475" t="s">
        <v>545</v>
      </c>
      <c r="G104" s="535">
        <v>2021</v>
      </c>
      <c r="H104" s="470">
        <v>1476000</v>
      </c>
      <c r="I104" s="478">
        <v>0</v>
      </c>
      <c r="J104" s="470">
        <v>1476000</v>
      </c>
      <c r="K104" s="337">
        <v>100</v>
      </c>
    </row>
    <row r="105" spans="1:11" s="432" customFormat="1" ht="33.75" customHeight="1">
      <c r="A105" s="427"/>
      <c r="B105" s="445"/>
      <c r="C105" s="446"/>
      <c r="D105" s="446"/>
      <c r="E105" s="259"/>
      <c r="F105" s="481" t="s">
        <v>528</v>
      </c>
      <c r="G105" s="535"/>
      <c r="H105" s="470"/>
      <c r="I105" s="478"/>
      <c r="J105" s="470">
        <v>49900</v>
      </c>
      <c r="K105" s="337"/>
    </row>
    <row r="106" spans="1:11" s="432" customFormat="1" ht="40.5" customHeight="1">
      <c r="A106" s="427"/>
      <c r="B106" s="240" t="s">
        <v>269</v>
      </c>
      <c r="C106" s="446" t="s">
        <v>268</v>
      </c>
      <c r="D106" s="446" t="s">
        <v>235</v>
      </c>
      <c r="E106" s="259" t="s">
        <v>449</v>
      </c>
      <c r="F106" s="603" t="s">
        <v>546</v>
      </c>
      <c r="G106" s="536" t="s">
        <v>547</v>
      </c>
      <c r="H106" s="470">
        <v>1159880</v>
      </c>
      <c r="I106" s="478">
        <v>0</v>
      </c>
      <c r="J106" s="470">
        <v>1159880</v>
      </c>
      <c r="K106" s="337">
        <v>100</v>
      </c>
    </row>
    <row r="107" spans="1:11" s="432" customFormat="1" ht="51.75" customHeight="1">
      <c r="A107" s="427"/>
      <c r="B107" s="445"/>
      <c r="C107" s="446"/>
      <c r="D107" s="446"/>
      <c r="E107" s="259"/>
      <c r="F107" s="481" t="s">
        <v>528</v>
      </c>
      <c r="G107" s="535"/>
      <c r="H107" s="470"/>
      <c r="I107" s="478"/>
      <c r="J107" s="470">
        <v>49900</v>
      </c>
      <c r="K107" s="337"/>
    </row>
    <row r="108" spans="1:11" s="432" customFormat="1" ht="59.25" customHeight="1">
      <c r="A108" s="427"/>
      <c r="B108" s="240" t="s">
        <v>269</v>
      </c>
      <c r="C108" s="446" t="s">
        <v>268</v>
      </c>
      <c r="D108" s="446" t="s">
        <v>235</v>
      </c>
      <c r="E108" s="259" t="s">
        <v>449</v>
      </c>
      <c r="F108" s="475" t="s">
        <v>623</v>
      </c>
      <c r="G108" s="535">
        <v>2021</v>
      </c>
      <c r="H108" s="470">
        <v>801749</v>
      </c>
      <c r="I108" s="478">
        <v>0</v>
      </c>
      <c r="J108" s="470">
        <v>801749</v>
      </c>
      <c r="K108" s="337">
        <v>100</v>
      </c>
    </row>
    <row r="109" spans="1:11" s="432" customFormat="1" ht="41.25" customHeight="1">
      <c r="A109" s="427"/>
      <c r="B109" s="445"/>
      <c r="C109" s="446"/>
      <c r="D109" s="446"/>
      <c r="E109" s="259"/>
      <c r="F109" s="481" t="s">
        <v>528</v>
      </c>
      <c r="G109" s="535"/>
      <c r="H109" s="470"/>
      <c r="I109" s="478"/>
      <c r="J109" s="470">
        <v>49900</v>
      </c>
      <c r="K109" s="337"/>
    </row>
    <row r="110" spans="1:11" s="432" customFormat="1" ht="42.75" customHeight="1">
      <c r="A110" s="427"/>
      <c r="B110" s="240" t="s">
        <v>269</v>
      </c>
      <c r="C110" s="446" t="s">
        <v>268</v>
      </c>
      <c r="D110" s="446" t="s">
        <v>235</v>
      </c>
      <c r="E110" s="259" t="s">
        <v>449</v>
      </c>
      <c r="F110" s="537" t="s">
        <v>548</v>
      </c>
      <c r="G110" s="535">
        <v>2021</v>
      </c>
      <c r="H110" s="470">
        <v>356107</v>
      </c>
      <c r="I110" s="478">
        <v>0</v>
      </c>
      <c r="J110" s="470">
        <v>356107</v>
      </c>
      <c r="K110" s="337">
        <v>100</v>
      </c>
    </row>
    <row r="111" spans="1:11" s="432" customFormat="1" ht="44.25" customHeight="1">
      <c r="A111" s="427"/>
      <c r="B111" s="445"/>
      <c r="C111" s="446"/>
      <c r="D111" s="446"/>
      <c r="E111" s="259"/>
      <c r="F111" s="481" t="s">
        <v>528</v>
      </c>
      <c r="G111" s="482"/>
      <c r="H111" s="538"/>
      <c r="I111" s="478"/>
      <c r="J111" s="470">
        <v>49900</v>
      </c>
      <c r="K111" s="337"/>
    </row>
    <row r="112" spans="1:11" s="432" customFormat="1" ht="54" customHeight="1">
      <c r="A112" s="427"/>
      <c r="B112" s="240" t="s">
        <v>269</v>
      </c>
      <c r="C112" s="446" t="s">
        <v>268</v>
      </c>
      <c r="D112" s="446" t="s">
        <v>235</v>
      </c>
      <c r="E112" s="259" t="s">
        <v>449</v>
      </c>
      <c r="F112" s="475" t="s">
        <v>549</v>
      </c>
      <c r="G112" s="482">
        <v>2021</v>
      </c>
      <c r="H112" s="538">
        <v>1453000</v>
      </c>
      <c r="I112" s="478">
        <v>0</v>
      </c>
      <c r="J112" s="538">
        <v>1453000</v>
      </c>
      <c r="K112" s="337">
        <v>100</v>
      </c>
    </row>
    <row r="113" spans="1:11" s="432" customFormat="1" ht="46.5" customHeight="1">
      <c r="A113" s="427"/>
      <c r="B113" s="445"/>
      <c r="C113" s="446"/>
      <c r="D113" s="446"/>
      <c r="E113" s="259"/>
      <c r="F113" s="533" t="s">
        <v>528</v>
      </c>
      <c r="G113" s="482"/>
      <c r="H113" s="538"/>
      <c r="I113" s="478"/>
      <c r="J113" s="470">
        <v>49900</v>
      </c>
      <c r="K113" s="337"/>
    </row>
    <row r="114" spans="1:11" s="432" customFormat="1" ht="49.5" customHeight="1">
      <c r="A114" s="427"/>
      <c r="B114" s="240" t="s">
        <v>269</v>
      </c>
      <c r="C114" s="446" t="s">
        <v>268</v>
      </c>
      <c r="D114" s="446" t="s">
        <v>235</v>
      </c>
      <c r="E114" s="259" t="s">
        <v>449</v>
      </c>
      <c r="F114" s="475" t="s">
        <v>550</v>
      </c>
      <c r="G114" s="482">
        <v>2021</v>
      </c>
      <c r="H114" s="538">
        <v>899500</v>
      </c>
      <c r="I114" s="478">
        <v>0</v>
      </c>
      <c r="J114" s="470">
        <v>899500</v>
      </c>
      <c r="K114" s="337">
        <v>100</v>
      </c>
    </row>
    <row r="115" spans="1:11" s="432" customFormat="1" ht="48.75" customHeight="1">
      <c r="A115" s="427"/>
      <c r="B115" s="445"/>
      <c r="C115" s="446"/>
      <c r="D115" s="446"/>
      <c r="E115" s="259"/>
      <c r="F115" s="533" t="s">
        <v>528</v>
      </c>
      <c r="G115" s="482"/>
      <c r="H115" s="538"/>
      <c r="I115" s="478"/>
      <c r="J115" s="470">
        <v>49900</v>
      </c>
      <c r="K115" s="337"/>
    </row>
    <row r="116" spans="1:11" s="432" customFormat="1" ht="44.25" customHeight="1">
      <c r="A116" s="427"/>
      <c r="B116" s="240" t="s">
        <v>269</v>
      </c>
      <c r="C116" s="446" t="s">
        <v>268</v>
      </c>
      <c r="D116" s="446" t="s">
        <v>235</v>
      </c>
      <c r="E116" s="259" t="s">
        <v>449</v>
      </c>
      <c r="F116" s="529" t="s">
        <v>551</v>
      </c>
      <c r="G116" s="482">
        <v>2021</v>
      </c>
      <c r="H116" s="538">
        <v>407600</v>
      </c>
      <c r="I116" s="478">
        <v>0</v>
      </c>
      <c r="J116" s="470">
        <v>407600</v>
      </c>
      <c r="K116" s="337">
        <v>100</v>
      </c>
    </row>
    <row r="117" spans="1:11" s="432" customFormat="1" ht="53.25" customHeight="1">
      <c r="A117" s="427"/>
      <c r="B117" s="445"/>
      <c r="C117" s="446"/>
      <c r="D117" s="446"/>
      <c r="E117" s="259"/>
      <c r="F117" s="481" t="s">
        <v>528</v>
      </c>
      <c r="G117" s="482"/>
      <c r="H117" s="538"/>
      <c r="I117" s="478"/>
      <c r="J117" s="470">
        <v>49900</v>
      </c>
      <c r="K117" s="337"/>
    </row>
    <row r="118" spans="1:11" s="432" customFormat="1" ht="59.25" customHeight="1">
      <c r="A118" s="427"/>
      <c r="B118" s="240" t="s">
        <v>269</v>
      </c>
      <c r="C118" s="446" t="s">
        <v>268</v>
      </c>
      <c r="D118" s="484" t="s">
        <v>235</v>
      </c>
      <c r="E118" s="353" t="s">
        <v>449</v>
      </c>
      <c r="F118" s="534" t="s">
        <v>624</v>
      </c>
      <c r="G118" s="539">
        <v>2021</v>
      </c>
      <c r="H118" s="540">
        <v>500000</v>
      </c>
      <c r="I118" s="541">
        <v>0</v>
      </c>
      <c r="J118" s="460">
        <v>500000</v>
      </c>
      <c r="K118" s="337">
        <v>100</v>
      </c>
    </row>
    <row r="119" spans="1:11" s="432" customFormat="1" ht="48.75" customHeight="1">
      <c r="A119" s="427"/>
      <c r="B119" s="445"/>
      <c r="C119" s="480"/>
      <c r="D119" s="486"/>
      <c r="E119" s="356"/>
      <c r="F119" s="481" t="s">
        <v>528</v>
      </c>
      <c r="G119" s="482"/>
      <c r="H119" s="359"/>
      <c r="I119" s="350"/>
      <c r="J119" s="359">
        <v>49900</v>
      </c>
      <c r="K119" s="485"/>
    </row>
    <row r="120" spans="1:14" s="543" customFormat="1" ht="24.75" customHeight="1">
      <c r="A120" s="416"/>
      <c r="B120" s="347"/>
      <c r="C120" s="229"/>
      <c r="D120" s="229"/>
      <c r="E120" s="230" t="s">
        <v>286</v>
      </c>
      <c r="F120" s="542"/>
      <c r="G120" s="542"/>
      <c r="H120" s="243">
        <f>H9+H49</f>
        <v>383419041</v>
      </c>
      <c r="I120" s="350"/>
      <c r="J120" s="243">
        <f>J9+J49</f>
        <v>110125177</v>
      </c>
      <c r="K120" s="348"/>
      <c r="N120" s="605"/>
    </row>
    <row r="122" spans="1:11" s="551" customFormat="1" ht="42.75" customHeight="1">
      <c r="A122" s="416"/>
      <c r="B122" s="546"/>
      <c r="C122" s="281"/>
      <c r="D122" s="281"/>
      <c r="E122" s="281" t="s">
        <v>49</v>
      </c>
      <c r="F122" s="281"/>
      <c r="G122" s="281"/>
      <c r="H122" s="547"/>
      <c r="I122" s="548"/>
      <c r="J122" s="549" t="s">
        <v>471</v>
      </c>
      <c r="K122" s="550"/>
    </row>
    <row r="123" spans="2:14" ht="20.25" customHeight="1">
      <c r="B123" s="110"/>
      <c r="C123" s="110"/>
      <c r="D123" s="110"/>
      <c r="E123" s="110"/>
      <c r="F123" s="110"/>
      <c r="G123" s="110"/>
      <c r="H123" s="552"/>
      <c r="I123" s="553"/>
      <c r="J123" s="552"/>
      <c r="K123" s="553"/>
      <c r="L123" s="110"/>
      <c r="M123" s="110"/>
      <c r="N123" s="110"/>
    </row>
    <row r="124" spans="2:14" ht="20.25" customHeight="1">
      <c r="B124" s="110"/>
      <c r="C124" s="110"/>
      <c r="D124" s="110"/>
      <c r="E124" s="110"/>
      <c r="F124" s="110"/>
      <c r="G124" s="110"/>
      <c r="H124" s="552"/>
      <c r="I124" s="553"/>
      <c r="J124" s="552"/>
      <c r="K124" s="553"/>
      <c r="L124" s="110"/>
      <c r="M124" s="110"/>
      <c r="N124" s="110"/>
    </row>
    <row r="125" spans="2:14" ht="36.75" customHeight="1">
      <c r="B125" s="618"/>
      <c r="C125" s="618"/>
      <c r="D125" s="618"/>
      <c r="E125" s="618"/>
      <c r="F125" s="618"/>
      <c r="G125" s="618"/>
      <c r="H125" s="618"/>
      <c r="I125" s="618"/>
      <c r="J125" s="618"/>
      <c r="K125" s="618"/>
      <c r="L125" s="381"/>
      <c r="M125" s="381"/>
      <c r="N125" s="381"/>
    </row>
    <row r="126" spans="2:14" ht="21" customHeight="1">
      <c r="B126" s="618"/>
      <c r="C126" s="618"/>
      <c r="D126" s="618"/>
      <c r="E126" s="618"/>
      <c r="F126" s="618"/>
      <c r="G126" s="618"/>
      <c r="H126" s="618"/>
      <c r="I126" s="618"/>
      <c r="J126" s="618"/>
      <c r="K126" s="618"/>
      <c r="L126" s="618"/>
      <c r="M126" s="618"/>
      <c r="N126" s="618"/>
    </row>
  </sheetData>
  <sheetProtection/>
  <autoFilter ref="A8:N120"/>
  <mergeCells count="6">
    <mergeCell ref="B3:K3"/>
    <mergeCell ref="B125:K125"/>
    <mergeCell ref="B126:N126"/>
    <mergeCell ref="H1:K1"/>
    <mergeCell ref="E4:F4"/>
    <mergeCell ref="G53:K53"/>
  </mergeCells>
  <printOptions/>
  <pageMargins left="0.2362204724409449" right="0.1968503937007874" top="0.4724409448818898" bottom="0.2755905511811024" header="0.2362204724409449" footer="0.2755905511811024"/>
  <pageSetup fitToHeight="0" fitToWidth="1" horizontalDpi="600" verticalDpi="600" orientation="landscape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1"/>
  <sheetViews>
    <sheetView view="pageBreakPreview" zoomScale="59" zoomScaleNormal="75" zoomScaleSheetLayoutView="59" zoomScalePageLayoutView="0" workbookViewId="0" topLeftCell="A58">
      <selection activeCell="F14" sqref="F14:F15"/>
    </sheetView>
  </sheetViews>
  <sheetFormatPr defaultColWidth="9.00390625" defaultRowHeight="12.75"/>
  <cols>
    <col min="1" max="1" width="3.25390625" style="7" customWidth="1"/>
    <col min="2" max="2" width="14.125" style="34" customWidth="1"/>
    <col min="3" max="3" width="15.25390625" style="34" customWidth="1"/>
    <col min="4" max="4" width="20.00390625" style="34" customWidth="1"/>
    <col min="5" max="5" width="57.875" style="34" customWidth="1"/>
    <col min="6" max="6" width="61.25390625" style="250" customWidth="1"/>
    <col min="7" max="7" width="31.875" style="34" customWidth="1"/>
    <col min="8" max="8" width="18.125" style="34" customWidth="1"/>
    <col min="9" max="9" width="19.625" style="34" customWidth="1"/>
    <col min="10" max="10" width="16.625" style="8" customWidth="1"/>
    <col min="11" max="11" width="21.125" style="9" customWidth="1"/>
    <col min="12" max="12" width="1.37890625" style="9" customWidth="1"/>
    <col min="13" max="13" width="12.75390625" style="9" customWidth="1"/>
    <col min="14" max="14" width="7.00390625" style="9" customWidth="1"/>
    <col min="15" max="15" width="7.875" style="9" customWidth="1"/>
    <col min="16" max="16384" width="9.125" style="9" customWidth="1"/>
  </cols>
  <sheetData>
    <row r="1" spans="2:9" ht="9.75" customHeight="1">
      <c r="B1" s="670"/>
      <c r="C1" s="670"/>
      <c r="D1" s="670"/>
      <c r="E1" s="670"/>
      <c r="F1" s="670"/>
      <c r="G1" s="670"/>
      <c r="H1" s="670"/>
      <c r="I1" s="670"/>
    </row>
    <row r="2" spans="2:11" ht="88.5" customHeight="1">
      <c r="B2" s="380"/>
      <c r="C2" s="380"/>
      <c r="D2" s="380"/>
      <c r="E2" s="380"/>
      <c r="F2" s="380"/>
      <c r="G2" s="657" t="s">
        <v>601</v>
      </c>
      <c r="H2" s="622"/>
      <c r="I2" s="622"/>
      <c r="J2" s="622"/>
      <c r="K2" s="622"/>
    </row>
    <row r="3" spans="2:11" ht="16.5" customHeight="1">
      <c r="B3" s="380"/>
      <c r="C3" s="380"/>
      <c r="D3" s="380"/>
      <c r="E3" s="380"/>
      <c r="F3" s="380"/>
      <c r="G3" s="384" t="s">
        <v>344</v>
      </c>
      <c r="H3" s="384"/>
      <c r="I3" s="384"/>
      <c r="J3" s="384"/>
      <c r="K3" s="384"/>
    </row>
    <row r="4" spans="2:11" ht="39.75" customHeight="1">
      <c r="B4" s="656" t="s">
        <v>602</v>
      </c>
      <c r="C4" s="656"/>
      <c r="D4" s="656"/>
      <c r="E4" s="656"/>
      <c r="F4" s="656"/>
      <c r="G4" s="656"/>
      <c r="H4" s="656"/>
      <c r="I4" s="656"/>
      <c r="J4" s="656"/>
      <c r="K4" s="656"/>
    </row>
    <row r="5" spans="2:11" ht="19.5" customHeight="1">
      <c r="B5" s="385"/>
      <c r="C5" s="385"/>
      <c r="D5" s="385"/>
      <c r="E5" s="672" t="s">
        <v>386</v>
      </c>
      <c r="F5" s="672"/>
      <c r="G5" s="385"/>
      <c r="H5" s="385"/>
      <c r="I5" s="385"/>
      <c r="J5" s="386"/>
      <c r="K5" s="281"/>
    </row>
    <row r="6" spans="2:11" ht="23.25" customHeight="1">
      <c r="B6" s="385"/>
      <c r="C6" s="385"/>
      <c r="D6" s="385"/>
      <c r="E6" s="404" t="s">
        <v>331</v>
      </c>
      <c r="F6" s="385"/>
      <c r="G6" s="385"/>
      <c r="H6" s="385"/>
      <c r="I6" s="385"/>
      <c r="J6" s="386"/>
      <c r="K6" s="387" t="s">
        <v>89</v>
      </c>
    </row>
    <row r="7" spans="1:11" ht="68.25" customHeight="1">
      <c r="A7" s="38"/>
      <c r="B7" s="671" t="s">
        <v>292</v>
      </c>
      <c r="C7" s="671" t="s">
        <v>293</v>
      </c>
      <c r="D7" s="671" t="s">
        <v>294</v>
      </c>
      <c r="E7" s="671" t="s">
        <v>345</v>
      </c>
      <c r="F7" s="606" t="s">
        <v>287</v>
      </c>
      <c r="G7" s="606" t="s">
        <v>288</v>
      </c>
      <c r="H7" s="606" t="s">
        <v>284</v>
      </c>
      <c r="I7" s="606" t="s">
        <v>74</v>
      </c>
      <c r="J7" s="606" t="s">
        <v>75</v>
      </c>
      <c r="K7" s="606"/>
    </row>
    <row r="8" spans="1:11" s="40" customFormat="1" ht="63.75" customHeight="1">
      <c r="A8" s="39"/>
      <c r="B8" s="671"/>
      <c r="C8" s="671"/>
      <c r="D8" s="671"/>
      <c r="E8" s="671"/>
      <c r="F8" s="606"/>
      <c r="G8" s="606"/>
      <c r="H8" s="606"/>
      <c r="I8" s="606"/>
      <c r="J8" s="378" t="s">
        <v>285</v>
      </c>
      <c r="K8" s="378" t="s">
        <v>289</v>
      </c>
    </row>
    <row r="9" spans="1:11" s="40" customFormat="1" ht="21.75" customHeight="1">
      <c r="A9" s="39"/>
      <c r="B9" s="175">
        <v>1</v>
      </c>
      <c r="C9" s="175">
        <f>B9+1</f>
        <v>2</v>
      </c>
      <c r="D9" s="175">
        <f aca="true" t="shared" si="0" ref="D9:K9">C9+1</f>
        <v>3</v>
      </c>
      <c r="E9" s="175">
        <f t="shared" si="0"/>
        <v>4</v>
      </c>
      <c r="F9" s="175">
        <f t="shared" si="0"/>
        <v>5</v>
      </c>
      <c r="G9" s="175">
        <f t="shared" si="0"/>
        <v>6</v>
      </c>
      <c r="H9" s="175">
        <f t="shared" si="0"/>
        <v>7</v>
      </c>
      <c r="I9" s="175">
        <f t="shared" si="0"/>
        <v>8</v>
      </c>
      <c r="J9" s="175">
        <f t="shared" si="0"/>
        <v>9</v>
      </c>
      <c r="K9" s="175">
        <f t="shared" si="0"/>
        <v>10</v>
      </c>
    </row>
    <row r="10" spans="1:11" s="86" customFormat="1" ht="33.75" customHeight="1">
      <c r="A10" s="102"/>
      <c r="B10" s="207" t="s">
        <v>311</v>
      </c>
      <c r="C10" s="207" t="s">
        <v>312</v>
      </c>
      <c r="D10" s="73"/>
      <c r="E10" s="209" t="s">
        <v>309</v>
      </c>
      <c r="F10" s="388"/>
      <c r="G10" s="389"/>
      <c r="H10" s="390">
        <f>H11</f>
        <v>35972300</v>
      </c>
      <c r="I10" s="390">
        <f>I11</f>
        <v>31404740</v>
      </c>
      <c r="J10" s="390">
        <f>J11</f>
        <v>4567560</v>
      </c>
      <c r="K10" s="390">
        <f>K11</f>
        <v>4567560</v>
      </c>
    </row>
    <row r="11" spans="1:11" s="13" customFormat="1" ht="38.25" customHeight="1">
      <c r="A11" s="31"/>
      <c r="B11" s="207" t="s">
        <v>314</v>
      </c>
      <c r="C11" s="207"/>
      <c r="D11" s="73"/>
      <c r="E11" s="209" t="s">
        <v>310</v>
      </c>
      <c r="F11" s="391"/>
      <c r="G11" s="392"/>
      <c r="H11" s="390">
        <f>SUM(H12:H23)</f>
        <v>35972300</v>
      </c>
      <c r="I11" s="390">
        <f>SUM(I12:I23)</f>
        <v>31404740</v>
      </c>
      <c r="J11" s="390">
        <f>SUM(J12:J23)</f>
        <v>4567560</v>
      </c>
      <c r="K11" s="390">
        <f>SUM(K12:K23)</f>
        <v>4567560</v>
      </c>
    </row>
    <row r="12" spans="2:11" ht="46.5" customHeight="1">
      <c r="B12" s="668" t="s">
        <v>315</v>
      </c>
      <c r="C12" s="676" t="s">
        <v>70</v>
      </c>
      <c r="D12" s="676" t="s">
        <v>61</v>
      </c>
      <c r="E12" s="674" t="s">
        <v>192</v>
      </c>
      <c r="F12" s="591" t="s">
        <v>452</v>
      </c>
      <c r="G12" s="590" t="s">
        <v>453</v>
      </c>
      <c r="H12" s="395">
        <f>I12+J12</f>
        <v>450000</v>
      </c>
      <c r="I12" s="395">
        <v>450000</v>
      </c>
      <c r="J12" s="396"/>
      <c r="K12" s="396"/>
    </row>
    <row r="13" spans="2:11" ht="44.25" customHeight="1">
      <c r="B13" s="669"/>
      <c r="C13" s="677"/>
      <c r="D13" s="677"/>
      <c r="E13" s="675"/>
      <c r="F13" s="587" t="s">
        <v>420</v>
      </c>
      <c r="G13" s="590" t="s">
        <v>454</v>
      </c>
      <c r="H13" s="395">
        <f aca="true" t="shared" si="1" ref="H13:H23">I13+J13</f>
        <v>990000</v>
      </c>
      <c r="I13" s="395">
        <v>990000</v>
      </c>
      <c r="J13" s="396"/>
      <c r="K13" s="396"/>
    </row>
    <row r="14" spans="2:11" ht="44.25" customHeight="1">
      <c r="B14" s="286" t="s">
        <v>443</v>
      </c>
      <c r="C14" s="286" t="s">
        <v>253</v>
      </c>
      <c r="D14" s="176" t="s">
        <v>69</v>
      </c>
      <c r="E14" s="214" t="s">
        <v>254</v>
      </c>
      <c r="F14" s="673" t="s">
        <v>603</v>
      </c>
      <c r="G14" s="685" t="s">
        <v>426</v>
      </c>
      <c r="H14" s="397">
        <f t="shared" si="1"/>
        <v>5742200</v>
      </c>
      <c r="I14" s="395">
        <f>3500000+2242200</f>
        <v>5742200</v>
      </c>
      <c r="J14" s="396"/>
      <c r="K14" s="397"/>
    </row>
    <row r="15" spans="2:11" ht="70.5" customHeight="1">
      <c r="B15" s="286" t="s">
        <v>444</v>
      </c>
      <c r="C15" s="286" t="s">
        <v>24</v>
      </c>
      <c r="D15" s="176" t="s">
        <v>69</v>
      </c>
      <c r="E15" s="214" t="s">
        <v>22</v>
      </c>
      <c r="F15" s="673"/>
      <c r="G15" s="685"/>
      <c r="H15" s="397">
        <f t="shared" si="1"/>
        <v>17450000</v>
      </c>
      <c r="I15" s="395">
        <v>17450000</v>
      </c>
      <c r="J15" s="396"/>
      <c r="K15" s="396"/>
    </row>
    <row r="16" spans="2:11" ht="65.25" customHeight="1">
      <c r="B16" s="286" t="s">
        <v>444</v>
      </c>
      <c r="C16" s="286" t="s">
        <v>24</v>
      </c>
      <c r="D16" s="176" t="s">
        <v>69</v>
      </c>
      <c r="E16" s="214" t="s">
        <v>22</v>
      </c>
      <c r="F16" s="587" t="s">
        <v>581</v>
      </c>
      <c r="G16" s="590" t="s">
        <v>445</v>
      </c>
      <c r="H16" s="397">
        <f>I16+J16</f>
        <v>7817100</v>
      </c>
      <c r="I16" s="395">
        <v>3249540</v>
      </c>
      <c r="J16" s="396">
        <v>4567560</v>
      </c>
      <c r="K16" s="396">
        <v>4567560</v>
      </c>
    </row>
    <row r="17" spans="2:11" ht="55.5" customHeight="1">
      <c r="B17" s="286" t="s">
        <v>316</v>
      </c>
      <c r="C17" s="286" t="s">
        <v>77</v>
      </c>
      <c r="D17" s="212" t="s">
        <v>54</v>
      </c>
      <c r="E17" s="214" t="s">
        <v>43</v>
      </c>
      <c r="F17" s="405" t="s">
        <v>413</v>
      </c>
      <c r="G17" s="590" t="s">
        <v>604</v>
      </c>
      <c r="H17" s="395">
        <f t="shared" si="1"/>
        <v>200000</v>
      </c>
      <c r="I17" s="395">
        <v>200000</v>
      </c>
      <c r="J17" s="396"/>
      <c r="K17" s="396"/>
    </row>
    <row r="18" spans="2:11" ht="48" customHeight="1">
      <c r="B18" s="668" t="s">
        <v>317</v>
      </c>
      <c r="C18" s="668" t="s">
        <v>11</v>
      </c>
      <c r="D18" s="676" t="s">
        <v>37</v>
      </c>
      <c r="E18" s="684" t="s">
        <v>38</v>
      </c>
      <c r="F18" s="591" t="s">
        <v>415</v>
      </c>
      <c r="G18" s="590" t="s">
        <v>605</v>
      </c>
      <c r="H18" s="395">
        <f t="shared" si="1"/>
        <v>55000</v>
      </c>
      <c r="I18" s="395">
        <v>55000</v>
      </c>
      <c r="J18" s="396"/>
      <c r="K18" s="396"/>
    </row>
    <row r="19" spans="2:11" ht="31.5">
      <c r="B19" s="669"/>
      <c r="C19" s="669"/>
      <c r="D19" s="677"/>
      <c r="E19" s="675"/>
      <c r="F19" s="591" t="s">
        <v>582</v>
      </c>
      <c r="G19" s="590" t="s">
        <v>606</v>
      </c>
      <c r="H19" s="395">
        <f t="shared" si="1"/>
        <v>30000</v>
      </c>
      <c r="I19" s="395">
        <v>30000</v>
      </c>
      <c r="J19" s="396"/>
      <c r="K19" s="396"/>
    </row>
    <row r="20" spans="2:11" ht="39" customHeight="1">
      <c r="B20" s="286" t="s">
        <v>318</v>
      </c>
      <c r="C20" s="286" t="s">
        <v>12</v>
      </c>
      <c r="D20" s="212" t="s">
        <v>59</v>
      </c>
      <c r="E20" s="214" t="s">
        <v>13</v>
      </c>
      <c r="F20" s="587" t="s">
        <v>414</v>
      </c>
      <c r="G20" s="590" t="s">
        <v>607</v>
      </c>
      <c r="H20" s="395">
        <f t="shared" si="1"/>
        <v>1848000</v>
      </c>
      <c r="I20" s="395">
        <v>1848000</v>
      </c>
      <c r="J20" s="396"/>
      <c r="K20" s="396"/>
    </row>
    <row r="21" spans="2:13" ht="48" customHeight="1">
      <c r="B21" s="678" t="s">
        <v>319</v>
      </c>
      <c r="C21" s="678" t="s">
        <v>240</v>
      </c>
      <c r="D21" s="680" t="s">
        <v>67</v>
      </c>
      <c r="E21" s="682" t="s">
        <v>241</v>
      </c>
      <c r="F21" s="587" t="s">
        <v>455</v>
      </c>
      <c r="G21" s="590" t="s">
        <v>456</v>
      </c>
      <c r="H21" s="395">
        <f t="shared" si="1"/>
        <v>300000</v>
      </c>
      <c r="I21" s="395">
        <v>300000</v>
      </c>
      <c r="J21" s="396"/>
      <c r="K21" s="396"/>
      <c r="M21" s="101"/>
    </row>
    <row r="22" spans="2:13" ht="48" customHeight="1">
      <c r="B22" s="679"/>
      <c r="C22" s="679"/>
      <c r="D22" s="681"/>
      <c r="E22" s="683"/>
      <c r="F22" s="587" t="s">
        <v>457</v>
      </c>
      <c r="G22" s="590" t="s">
        <v>458</v>
      </c>
      <c r="H22" s="395">
        <f t="shared" si="1"/>
        <v>850000</v>
      </c>
      <c r="I22" s="395">
        <v>850000</v>
      </c>
      <c r="J22" s="396"/>
      <c r="K22" s="396"/>
      <c r="M22" s="101"/>
    </row>
    <row r="23" spans="2:11" ht="50.25" customHeight="1">
      <c r="B23" s="286" t="s">
        <v>320</v>
      </c>
      <c r="C23" s="175">
        <v>8110</v>
      </c>
      <c r="D23" s="175" t="s">
        <v>177</v>
      </c>
      <c r="E23" s="100" t="s">
        <v>15</v>
      </c>
      <c r="F23" s="587" t="s">
        <v>459</v>
      </c>
      <c r="G23" s="590" t="s">
        <v>460</v>
      </c>
      <c r="H23" s="395">
        <f t="shared" si="1"/>
        <v>240000</v>
      </c>
      <c r="I23" s="395">
        <v>240000</v>
      </c>
      <c r="J23" s="396"/>
      <c r="K23" s="396"/>
    </row>
    <row r="24" spans="2:11" ht="31.5">
      <c r="B24" s="207" t="s">
        <v>210</v>
      </c>
      <c r="C24" s="197" t="s">
        <v>211</v>
      </c>
      <c r="D24" s="197"/>
      <c r="E24" s="196" t="s">
        <v>372</v>
      </c>
      <c r="F24" s="388"/>
      <c r="G24" s="389"/>
      <c r="H24" s="390">
        <f>H25</f>
        <v>9692440</v>
      </c>
      <c r="I24" s="390">
        <f>I25</f>
        <v>9692440</v>
      </c>
      <c r="J24" s="390">
        <f>J25</f>
        <v>0</v>
      </c>
      <c r="K24" s="390">
        <f>K25</f>
        <v>0</v>
      </c>
    </row>
    <row r="25" spans="2:11" ht="31.5">
      <c r="B25" s="207" t="s">
        <v>212</v>
      </c>
      <c r="C25" s="197"/>
      <c r="D25" s="197"/>
      <c r="E25" s="196" t="s">
        <v>373</v>
      </c>
      <c r="F25" s="388"/>
      <c r="G25" s="389"/>
      <c r="H25" s="390">
        <f>J25+I25</f>
        <v>9692440</v>
      </c>
      <c r="I25" s="390">
        <f>SUM(I26:I33)</f>
        <v>9692440</v>
      </c>
      <c r="J25" s="390">
        <f>SUM(J26:J33)</f>
        <v>0</v>
      </c>
      <c r="K25" s="390">
        <f>SUM(K26:K33)</f>
        <v>0</v>
      </c>
    </row>
    <row r="26" spans="2:11" ht="63">
      <c r="B26" s="286" t="s">
        <v>214</v>
      </c>
      <c r="C26" s="286" t="s">
        <v>60</v>
      </c>
      <c r="D26" s="398" t="s">
        <v>299</v>
      </c>
      <c r="E26" s="170" t="s">
        <v>48</v>
      </c>
      <c r="F26" s="690" t="s">
        <v>515</v>
      </c>
      <c r="G26" s="691" t="s">
        <v>432</v>
      </c>
      <c r="H26" s="397">
        <f aca="true" t="shared" si="2" ref="H26:H33">I26+J26</f>
        <v>825000</v>
      </c>
      <c r="I26" s="395">
        <v>825000</v>
      </c>
      <c r="J26" s="396"/>
      <c r="K26" s="396"/>
    </row>
    <row r="27" spans="2:11" ht="63">
      <c r="B27" s="286" t="s">
        <v>250</v>
      </c>
      <c r="C27" s="286" t="s">
        <v>78</v>
      </c>
      <c r="D27" s="182">
        <v>1040</v>
      </c>
      <c r="E27" s="200" t="s">
        <v>223</v>
      </c>
      <c r="F27" s="690"/>
      <c r="G27" s="691"/>
      <c r="H27" s="397">
        <f t="shared" si="2"/>
        <v>198000</v>
      </c>
      <c r="I27" s="395">
        <v>198000</v>
      </c>
      <c r="J27" s="396"/>
      <c r="K27" s="396"/>
    </row>
    <row r="28" spans="2:13" ht="64.5" customHeight="1">
      <c r="B28" s="286" t="s">
        <v>214</v>
      </c>
      <c r="C28" s="286" t="s">
        <v>60</v>
      </c>
      <c r="D28" s="398" t="s">
        <v>299</v>
      </c>
      <c r="E28" s="170" t="s">
        <v>48</v>
      </c>
      <c r="F28" s="690" t="s">
        <v>516</v>
      </c>
      <c r="G28" s="685" t="s">
        <v>574</v>
      </c>
      <c r="H28" s="397">
        <f t="shared" si="2"/>
        <v>489765</v>
      </c>
      <c r="I28" s="395">
        <v>489765</v>
      </c>
      <c r="J28" s="396"/>
      <c r="K28" s="396"/>
      <c r="M28" s="81"/>
    </row>
    <row r="29" spans="2:11" ht="37.5" customHeight="1">
      <c r="B29" s="286" t="s">
        <v>31</v>
      </c>
      <c r="C29" s="286" t="s">
        <v>30</v>
      </c>
      <c r="D29" s="398" t="s">
        <v>29</v>
      </c>
      <c r="E29" s="170" t="s">
        <v>301</v>
      </c>
      <c r="F29" s="690"/>
      <c r="G29" s="685"/>
      <c r="H29" s="397">
        <f t="shared" si="2"/>
        <v>1867835</v>
      </c>
      <c r="I29" s="395">
        <f>1190645+677190</f>
        <v>1867835</v>
      </c>
      <c r="J29" s="396"/>
      <c r="K29" s="396"/>
    </row>
    <row r="30" spans="1:13" s="15" customFormat="1" ht="55.5" customHeight="1">
      <c r="A30" s="14"/>
      <c r="B30" s="678" t="s">
        <v>31</v>
      </c>
      <c r="C30" s="678" t="s">
        <v>30</v>
      </c>
      <c r="D30" s="693" t="s">
        <v>29</v>
      </c>
      <c r="E30" s="695" t="s">
        <v>301</v>
      </c>
      <c r="F30" s="406" t="s">
        <v>517</v>
      </c>
      <c r="G30" s="594" t="s">
        <v>575</v>
      </c>
      <c r="H30" s="397">
        <f t="shared" si="2"/>
        <v>3972300</v>
      </c>
      <c r="I30" s="395">
        <v>3972300</v>
      </c>
      <c r="J30" s="396"/>
      <c r="K30" s="396"/>
      <c r="M30" s="81"/>
    </row>
    <row r="31" spans="1:13" s="15" customFormat="1" ht="55.5" customHeight="1">
      <c r="A31" s="14"/>
      <c r="B31" s="692"/>
      <c r="C31" s="692"/>
      <c r="D31" s="694"/>
      <c r="E31" s="696"/>
      <c r="F31" s="406" t="s">
        <v>518</v>
      </c>
      <c r="G31" s="594" t="s">
        <v>429</v>
      </c>
      <c r="H31" s="397">
        <f>I31+J31</f>
        <v>1388540</v>
      </c>
      <c r="I31" s="395">
        <v>1388540</v>
      </c>
      <c r="J31" s="396"/>
      <c r="K31" s="396"/>
      <c r="M31" s="81"/>
    </row>
    <row r="32" spans="1:11" s="3" customFormat="1" ht="49.5" customHeight="1">
      <c r="A32" s="16"/>
      <c r="B32" s="286" t="s">
        <v>220</v>
      </c>
      <c r="C32" s="286" t="s">
        <v>221</v>
      </c>
      <c r="D32" s="212" t="s">
        <v>54</v>
      </c>
      <c r="E32" s="170" t="s">
        <v>222</v>
      </c>
      <c r="F32" s="587" t="s">
        <v>519</v>
      </c>
      <c r="G32" s="594" t="s">
        <v>431</v>
      </c>
      <c r="H32" s="397">
        <f t="shared" si="2"/>
        <v>561000</v>
      </c>
      <c r="I32" s="395">
        <v>561000</v>
      </c>
      <c r="J32" s="396"/>
      <c r="K32" s="396"/>
    </row>
    <row r="33" spans="1:11" s="3" customFormat="1" ht="31.5" customHeight="1">
      <c r="A33" s="16"/>
      <c r="B33" s="407" t="s">
        <v>403</v>
      </c>
      <c r="C33" s="407" t="s">
        <v>401</v>
      </c>
      <c r="D33" s="408" t="s">
        <v>302</v>
      </c>
      <c r="E33" s="406" t="s">
        <v>404</v>
      </c>
      <c r="F33" s="406" t="s">
        <v>520</v>
      </c>
      <c r="G33" s="594" t="s">
        <v>430</v>
      </c>
      <c r="H33" s="397">
        <f t="shared" si="2"/>
        <v>390000</v>
      </c>
      <c r="I33" s="395">
        <v>390000</v>
      </c>
      <c r="J33" s="396"/>
      <c r="K33" s="396"/>
    </row>
    <row r="34" spans="2:11" ht="31.5">
      <c r="B34" s="207" t="s">
        <v>179</v>
      </c>
      <c r="C34" s="207" t="s">
        <v>178</v>
      </c>
      <c r="D34" s="197"/>
      <c r="E34" s="196" t="s">
        <v>360</v>
      </c>
      <c r="F34" s="388"/>
      <c r="G34" s="389"/>
      <c r="H34" s="390">
        <f>H35</f>
        <v>24426300</v>
      </c>
      <c r="I34" s="390">
        <f>I35</f>
        <v>24426300</v>
      </c>
      <c r="J34" s="396"/>
      <c r="K34" s="396"/>
    </row>
    <row r="35" spans="2:11" ht="45.75" customHeight="1">
      <c r="B35" s="207" t="s">
        <v>180</v>
      </c>
      <c r="C35" s="207"/>
      <c r="D35" s="197"/>
      <c r="E35" s="196" t="s">
        <v>374</v>
      </c>
      <c r="F35" s="388"/>
      <c r="G35" s="389"/>
      <c r="H35" s="390">
        <f>J35+I35</f>
        <v>24426300</v>
      </c>
      <c r="I35" s="390">
        <f>SUM(I36:I41)</f>
        <v>24426300</v>
      </c>
      <c r="J35" s="390">
        <f>SUM(J36:J40)</f>
        <v>0</v>
      </c>
      <c r="K35" s="390">
        <f>SUM(K36:K40)</f>
        <v>0</v>
      </c>
    </row>
    <row r="36" spans="1:11" s="43" customFormat="1" ht="59.25" customHeight="1">
      <c r="A36" s="42"/>
      <c r="B36" s="286" t="s">
        <v>28</v>
      </c>
      <c r="C36" s="398" t="s">
        <v>12</v>
      </c>
      <c r="D36" s="398" t="s">
        <v>59</v>
      </c>
      <c r="E36" s="200" t="s">
        <v>13</v>
      </c>
      <c r="F36" s="409" t="s">
        <v>521</v>
      </c>
      <c r="G36" s="594" t="s">
        <v>424</v>
      </c>
      <c r="H36" s="395">
        <f aca="true" t="shared" si="3" ref="H36:H41">I36</f>
        <v>15000000</v>
      </c>
      <c r="I36" s="395">
        <v>15000000</v>
      </c>
      <c r="J36" s="396"/>
      <c r="K36" s="396"/>
    </row>
    <row r="37" spans="2:11" ht="44.25" customHeight="1">
      <c r="B37" s="286" t="s">
        <v>26</v>
      </c>
      <c r="C37" s="398" t="s">
        <v>11</v>
      </c>
      <c r="D37" s="398" t="s">
        <v>37</v>
      </c>
      <c r="E37" s="684" t="s">
        <v>38</v>
      </c>
      <c r="F37" s="591" t="s">
        <v>415</v>
      </c>
      <c r="G37" s="594" t="s">
        <v>433</v>
      </c>
      <c r="H37" s="395">
        <f t="shared" si="3"/>
        <v>26300</v>
      </c>
      <c r="I37" s="395">
        <v>26300</v>
      </c>
      <c r="J37" s="396"/>
      <c r="K37" s="396"/>
    </row>
    <row r="38" spans="2:11" ht="41.25" customHeight="1">
      <c r="B38" s="286" t="s">
        <v>26</v>
      </c>
      <c r="C38" s="286" t="s">
        <v>11</v>
      </c>
      <c r="D38" s="212" t="s">
        <v>37</v>
      </c>
      <c r="E38" s="675"/>
      <c r="F38" s="591" t="s">
        <v>522</v>
      </c>
      <c r="G38" s="590" t="s">
        <v>425</v>
      </c>
      <c r="H38" s="395">
        <f t="shared" si="3"/>
        <v>50000</v>
      </c>
      <c r="I38" s="395">
        <v>50000</v>
      </c>
      <c r="J38" s="396"/>
      <c r="K38" s="396"/>
    </row>
    <row r="39" spans="2:11" ht="39.75" customHeight="1">
      <c r="B39" s="286" t="s">
        <v>407</v>
      </c>
      <c r="C39" s="286" t="s">
        <v>406</v>
      </c>
      <c r="D39" s="287" t="s">
        <v>56</v>
      </c>
      <c r="E39" s="177" t="s">
        <v>408</v>
      </c>
      <c r="F39" s="698" t="s">
        <v>577</v>
      </c>
      <c r="G39" s="701" t="s">
        <v>580</v>
      </c>
      <c r="H39" s="395">
        <f t="shared" si="3"/>
        <v>350000</v>
      </c>
      <c r="I39" s="395">
        <v>350000</v>
      </c>
      <c r="J39" s="396"/>
      <c r="K39" s="396"/>
    </row>
    <row r="40" spans="2:11" ht="52.5" customHeight="1">
      <c r="B40" s="286" t="s">
        <v>181</v>
      </c>
      <c r="C40" s="286" t="s">
        <v>84</v>
      </c>
      <c r="D40" s="398" t="s">
        <v>56</v>
      </c>
      <c r="E40" s="170" t="s">
        <v>45</v>
      </c>
      <c r="F40" s="699"/>
      <c r="G40" s="702"/>
      <c r="H40" s="395">
        <f t="shared" si="3"/>
        <v>8000000</v>
      </c>
      <c r="I40" s="395">
        <v>8000000</v>
      </c>
      <c r="J40" s="396"/>
      <c r="K40" s="396"/>
    </row>
    <row r="41" spans="2:11" ht="52.5" customHeight="1">
      <c r="B41" s="286" t="s">
        <v>576</v>
      </c>
      <c r="C41" s="286" t="s">
        <v>578</v>
      </c>
      <c r="D41" s="398" t="s">
        <v>56</v>
      </c>
      <c r="E41" s="170" t="s">
        <v>579</v>
      </c>
      <c r="F41" s="700"/>
      <c r="G41" s="703"/>
      <c r="H41" s="395">
        <f t="shared" si="3"/>
        <v>1000000</v>
      </c>
      <c r="I41" s="395">
        <v>1000000</v>
      </c>
      <c r="J41" s="396"/>
      <c r="K41" s="396"/>
    </row>
    <row r="42" spans="2:11" ht="31.5">
      <c r="B42" s="207" t="s">
        <v>44</v>
      </c>
      <c r="C42" s="207" t="s">
        <v>81</v>
      </c>
      <c r="D42" s="73"/>
      <c r="E42" s="209" t="s">
        <v>375</v>
      </c>
      <c r="F42" s="388"/>
      <c r="G42" s="598"/>
      <c r="H42" s="390">
        <f>H43</f>
        <v>2000000</v>
      </c>
      <c r="I42" s="390">
        <f>I43</f>
        <v>1950000</v>
      </c>
      <c r="J42" s="390">
        <f>J43</f>
        <v>50000</v>
      </c>
      <c r="K42" s="390">
        <f>K43</f>
        <v>50000</v>
      </c>
    </row>
    <row r="43" spans="2:11" ht="31.5">
      <c r="B43" s="207" t="s">
        <v>50</v>
      </c>
      <c r="C43" s="207"/>
      <c r="D43" s="73"/>
      <c r="E43" s="209" t="s">
        <v>363</v>
      </c>
      <c r="F43" s="388"/>
      <c r="G43" s="599"/>
      <c r="H43" s="390">
        <f>I43+J43</f>
        <v>2000000</v>
      </c>
      <c r="I43" s="390">
        <f>I44</f>
        <v>1950000</v>
      </c>
      <c r="J43" s="390">
        <f>J44</f>
        <v>50000</v>
      </c>
      <c r="K43" s="390">
        <f>K44</f>
        <v>50000</v>
      </c>
    </row>
    <row r="44" spans="2:11" ht="45" customHeight="1">
      <c r="B44" s="286" t="s">
        <v>17</v>
      </c>
      <c r="C44" s="286" t="s">
        <v>19</v>
      </c>
      <c r="D44" s="212" t="s">
        <v>65</v>
      </c>
      <c r="E44" s="213" t="s">
        <v>451</v>
      </c>
      <c r="F44" s="410" t="s">
        <v>461</v>
      </c>
      <c r="G44" s="590" t="s">
        <v>462</v>
      </c>
      <c r="H44" s="395">
        <f>I44+J44</f>
        <v>2000000</v>
      </c>
      <c r="I44" s="395">
        <v>1950000</v>
      </c>
      <c r="J44" s="396">
        <v>50000</v>
      </c>
      <c r="K44" s="396">
        <v>50000</v>
      </c>
    </row>
    <row r="45" spans="1:11" s="71" customFormat="1" ht="31.5">
      <c r="A45" s="70"/>
      <c r="B45" s="207" t="s">
        <v>227</v>
      </c>
      <c r="C45" s="207" t="s">
        <v>226</v>
      </c>
      <c r="D45" s="73"/>
      <c r="E45" s="209" t="s">
        <v>364</v>
      </c>
      <c r="F45" s="388"/>
      <c r="G45" s="389"/>
      <c r="H45" s="390">
        <f>J45+I45</f>
        <v>129097153</v>
      </c>
      <c r="I45" s="390">
        <f>I46</f>
        <v>101454753</v>
      </c>
      <c r="J45" s="379">
        <f>J46</f>
        <v>27642400</v>
      </c>
      <c r="K45" s="379">
        <f>K46</f>
        <v>27281800</v>
      </c>
    </row>
    <row r="46" spans="1:13" s="71" customFormat="1" ht="31.5">
      <c r="A46" s="70"/>
      <c r="B46" s="207" t="s">
        <v>228</v>
      </c>
      <c r="C46" s="207"/>
      <c r="D46" s="73"/>
      <c r="E46" s="209" t="s">
        <v>419</v>
      </c>
      <c r="F46" s="388"/>
      <c r="G46" s="389"/>
      <c r="H46" s="390">
        <f>J46+I46</f>
        <v>129097153</v>
      </c>
      <c r="I46" s="390">
        <f>SUM(I47:I65)</f>
        <v>101454753</v>
      </c>
      <c r="J46" s="390">
        <f>SUM(J47:J65)</f>
        <v>27642400</v>
      </c>
      <c r="K46" s="390">
        <f>SUM(K47:K65)</f>
        <v>27281800</v>
      </c>
      <c r="M46" s="571">
        <f>J46-K46</f>
        <v>360600</v>
      </c>
    </row>
    <row r="47" spans="2:13" ht="37.5" customHeight="1">
      <c r="B47" s="678" t="s">
        <v>25</v>
      </c>
      <c r="C47" s="678" t="s">
        <v>11</v>
      </c>
      <c r="D47" s="680" t="s">
        <v>37</v>
      </c>
      <c r="E47" s="695" t="s">
        <v>38</v>
      </c>
      <c r="F47" s="591" t="s">
        <v>583</v>
      </c>
      <c r="G47" s="590" t="s">
        <v>425</v>
      </c>
      <c r="H47" s="395">
        <f>I47+J47</f>
        <v>30000</v>
      </c>
      <c r="I47" s="395">
        <v>30000</v>
      </c>
      <c r="J47" s="396"/>
      <c r="K47" s="396"/>
      <c r="M47" s="19">
        <f>H52+H55+H58+H59</f>
        <v>20428934</v>
      </c>
    </row>
    <row r="48" spans="2:11" ht="71.25" customHeight="1">
      <c r="B48" s="679"/>
      <c r="C48" s="679"/>
      <c r="D48" s="681"/>
      <c r="E48" s="697"/>
      <c r="F48" s="406" t="s">
        <v>418</v>
      </c>
      <c r="G48" s="595" t="s">
        <v>442</v>
      </c>
      <c r="H48" s="395">
        <f>I48+J48</f>
        <v>50000</v>
      </c>
      <c r="I48" s="395">
        <v>50000</v>
      </c>
      <c r="J48" s="396"/>
      <c r="K48" s="396"/>
    </row>
    <row r="49" spans="1:11" s="11" customFormat="1" ht="55.5" customHeight="1">
      <c r="A49" s="10"/>
      <c r="B49" s="668" t="s">
        <v>246</v>
      </c>
      <c r="C49" s="668" t="s">
        <v>247</v>
      </c>
      <c r="D49" s="704" t="s">
        <v>66</v>
      </c>
      <c r="E49" s="673" t="s">
        <v>248</v>
      </c>
      <c r="F49" s="587" t="s">
        <v>584</v>
      </c>
      <c r="G49" s="595" t="s">
        <v>441</v>
      </c>
      <c r="H49" s="395">
        <f>I49+J49</f>
        <v>10400000</v>
      </c>
      <c r="I49" s="395">
        <v>1520000</v>
      </c>
      <c r="J49" s="396">
        <v>8880000</v>
      </c>
      <c r="K49" s="396">
        <v>8880000</v>
      </c>
    </row>
    <row r="50" spans="1:11" s="11" customFormat="1" ht="53.25" customHeight="1">
      <c r="A50" s="10"/>
      <c r="B50" s="668"/>
      <c r="C50" s="668"/>
      <c r="D50" s="704"/>
      <c r="E50" s="673"/>
      <c r="F50" s="587" t="s">
        <v>585</v>
      </c>
      <c r="G50" s="595" t="s">
        <v>440</v>
      </c>
      <c r="H50" s="395">
        <f aca="true" t="shared" si="4" ref="H50:H60">I50+J50</f>
        <v>1600000</v>
      </c>
      <c r="I50" s="395">
        <v>1600000</v>
      </c>
      <c r="J50" s="396"/>
      <c r="K50" s="396"/>
    </row>
    <row r="51" spans="1:11" s="11" customFormat="1" ht="66.75" customHeight="1">
      <c r="A51" s="10"/>
      <c r="B51" s="286" t="s">
        <v>255</v>
      </c>
      <c r="C51" s="286" t="s">
        <v>256</v>
      </c>
      <c r="D51" s="212" t="s">
        <v>258</v>
      </c>
      <c r="E51" s="214" t="s">
        <v>257</v>
      </c>
      <c r="F51" s="686" t="s">
        <v>627</v>
      </c>
      <c r="G51" s="688" t="s">
        <v>427</v>
      </c>
      <c r="H51" s="395">
        <f t="shared" si="4"/>
        <v>5601800</v>
      </c>
      <c r="I51" s="395">
        <v>500000</v>
      </c>
      <c r="J51" s="397">
        <v>5101800</v>
      </c>
      <c r="K51" s="397">
        <v>5101800</v>
      </c>
    </row>
    <row r="52" spans="1:11" s="11" customFormat="1" ht="66.75" customHeight="1">
      <c r="A52" s="10"/>
      <c r="B52" s="286" t="s">
        <v>463</v>
      </c>
      <c r="C52" s="286" t="s">
        <v>9</v>
      </c>
      <c r="D52" s="212" t="s">
        <v>298</v>
      </c>
      <c r="E52" s="214" t="s">
        <v>464</v>
      </c>
      <c r="F52" s="687"/>
      <c r="G52" s="689"/>
      <c r="H52" s="395">
        <f t="shared" si="4"/>
        <v>200000</v>
      </c>
      <c r="I52" s="395">
        <v>200000</v>
      </c>
      <c r="J52" s="397"/>
      <c r="K52" s="397"/>
    </row>
    <row r="53" spans="2:11" ht="71.25" customHeight="1">
      <c r="B53" s="286" t="s">
        <v>237</v>
      </c>
      <c r="C53" s="286" t="s">
        <v>86</v>
      </c>
      <c r="D53" s="212" t="s">
        <v>66</v>
      </c>
      <c r="E53" s="214" t="s">
        <v>238</v>
      </c>
      <c r="F53" s="587" t="s">
        <v>586</v>
      </c>
      <c r="G53" s="595" t="s">
        <v>428</v>
      </c>
      <c r="H53" s="395">
        <f t="shared" si="4"/>
        <v>1200000</v>
      </c>
      <c r="I53" s="395">
        <v>1200000</v>
      </c>
      <c r="J53" s="396"/>
      <c r="K53" s="396"/>
    </row>
    <row r="54" spans="2:11" ht="36.75" customHeight="1">
      <c r="B54" s="286" t="s">
        <v>237</v>
      </c>
      <c r="C54" s="286" t="s">
        <v>86</v>
      </c>
      <c r="D54" s="212" t="s">
        <v>66</v>
      </c>
      <c r="E54" s="214" t="s">
        <v>238</v>
      </c>
      <c r="F54" s="690" t="s">
        <v>587</v>
      </c>
      <c r="G54" s="688" t="s">
        <v>439</v>
      </c>
      <c r="H54" s="395">
        <f t="shared" si="4"/>
        <v>84325819</v>
      </c>
      <c r="I54" s="395">
        <f>82464999+1560820+300000</f>
        <v>84325819</v>
      </c>
      <c r="J54" s="396"/>
      <c r="K54" s="396"/>
    </row>
    <row r="55" spans="2:11" ht="47.25">
      <c r="B55" s="286" t="s">
        <v>5</v>
      </c>
      <c r="C55" s="286" t="s">
        <v>6</v>
      </c>
      <c r="D55" s="176" t="s">
        <v>7</v>
      </c>
      <c r="E55" s="214" t="s">
        <v>8</v>
      </c>
      <c r="F55" s="690"/>
      <c r="G55" s="689"/>
      <c r="H55" s="395">
        <f t="shared" si="4"/>
        <v>6628934</v>
      </c>
      <c r="I55" s="335">
        <f>6085534+943400+900000-1000000-300000</f>
        <v>6628934</v>
      </c>
      <c r="J55" s="396"/>
      <c r="K55" s="396"/>
    </row>
    <row r="56" spans="1:11" s="11" customFormat="1" ht="99.75" customHeight="1">
      <c r="A56" s="10"/>
      <c r="B56" s="286" t="s">
        <v>260</v>
      </c>
      <c r="C56" s="286" t="s">
        <v>261</v>
      </c>
      <c r="D56" s="212" t="s">
        <v>258</v>
      </c>
      <c r="E56" s="214" t="s">
        <v>262</v>
      </c>
      <c r="F56" s="406" t="s">
        <v>588</v>
      </c>
      <c r="G56" s="595" t="s">
        <v>438</v>
      </c>
      <c r="H56" s="395">
        <f t="shared" si="4"/>
        <v>1200000</v>
      </c>
      <c r="I56" s="395">
        <v>1200000</v>
      </c>
      <c r="J56" s="396"/>
      <c r="K56" s="396"/>
    </row>
    <row r="57" spans="2:11" ht="47.25" customHeight="1">
      <c r="B57" s="286" t="s">
        <v>255</v>
      </c>
      <c r="C57" s="286" t="s">
        <v>256</v>
      </c>
      <c r="D57" s="212" t="s">
        <v>258</v>
      </c>
      <c r="E57" s="214" t="s">
        <v>257</v>
      </c>
      <c r="F57" s="705" t="s">
        <v>589</v>
      </c>
      <c r="G57" s="688" t="s">
        <v>437</v>
      </c>
      <c r="H57" s="395">
        <f t="shared" si="4"/>
        <v>2000000</v>
      </c>
      <c r="I57" s="395">
        <v>2000000</v>
      </c>
      <c r="J57" s="396"/>
      <c r="K57" s="396"/>
    </row>
    <row r="58" spans="2:11" ht="40.5" customHeight="1">
      <c r="B58" s="286" t="s">
        <v>259</v>
      </c>
      <c r="C58" s="286" t="s">
        <v>230</v>
      </c>
      <c r="D58" s="212" t="s">
        <v>88</v>
      </c>
      <c r="E58" s="399" t="s">
        <v>176</v>
      </c>
      <c r="F58" s="705"/>
      <c r="G58" s="689"/>
      <c r="H58" s="395">
        <f t="shared" si="4"/>
        <v>12000000</v>
      </c>
      <c r="I58" s="395"/>
      <c r="J58" s="395">
        <v>12000000</v>
      </c>
      <c r="K58" s="395">
        <v>12000000</v>
      </c>
    </row>
    <row r="59" spans="1:13" s="11" customFormat="1" ht="66.75" customHeight="1">
      <c r="A59" s="10"/>
      <c r="B59" s="286" t="s">
        <v>239</v>
      </c>
      <c r="C59" s="286" t="s">
        <v>240</v>
      </c>
      <c r="D59" s="212" t="s">
        <v>67</v>
      </c>
      <c r="E59" s="399" t="s">
        <v>241</v>
      </c>
      <c r="F59" s="406" t="s">
        <v>417</v>
      </c>
      <c r="G59" s="595" t="s">
        <v>436</v>
      </c>
      <c r="H59" s="395">
        <f t="shared" si="4"/>
        <v>1600000</v>
      </c>
      <c r="I59" s="395">
        <v>1600000</v>
      </c>
      <c r="J59" s="396"/>
      <c r="K59" s="396"/>
      <c r="M59" s="9"/>
    </row>
    <row r="60" spans="1:11" ht="63" customHeight="1">
      <c r="A60" s="32"/>
      <c r="B60" s="286" t="s">
        <v>243</v>
      </c>
      <c r="C60" s="286" t="s">
        <v>242</v>
      </c>
      <c r="D60" s="212" t="s">
        <v>244</v>
      </c>
      <c r="E60" s="214" t="s">
        <v>245</v>
      </c>
      <c r="F60" s="602" t="s">
        <v>590</v>
      </c>
      <c r="G60" s="595" t="s">
        <v>435</v>
      </c>
      <c r="H60" s="395">
        <f t="shared" si="4"/>
        <v>160600</v>
      </c>
      <c r="I60" s="395"/>
      <c r="J60" s="396">
        <v>160600</v>
      </c>
      <c r="K60" s="396"/>
    </row>
    <row r="61" spans="1:11" s="43" customFormat="1" ht="26.25" customHeight="1">
      <c r="A61" s="42"/>
      <c r="B61" s="586" t="s">
        <v>619</v>
      </c>
      <c r="C61" s="586" t="s">
        <v>70</v>
      </c>
      <c r="D61" s="588" t="s">
        <v>61</v>
      </c>
      <c r="E61" s="589" t="s">
        <v>192</v>
      </c>
      <c r="F61" s="662" t="s">
        <v>591</v>
      </c>
      <c r="G61" s="665" t="s">
        <v>434</v>
      </c>
      <c r="H61" s="400">
        <f aca="true" t="shared" si="5" ref="H61:H69">I61+J61</f>
        <v>100000</v>
      </c>
      <c r="I61" s="395">
        <v>100000</v>
      </c>
      <c r="J61" s="396"/>
      <c r="K61" s="396"/>
    </row>
    <row r="62" spans="1:11" s="43" customFormat="1" ht="30" customHeight="1">
      <c r="A62" s="42"/>
      <c r="B62" s="586" t="s">
        <v>463</v>
      </c>
      <c r="C62" s="588" t="s">
        <v>9</v>
      </c>
      <c r="D62" s="588" t="s">
        <v>298</v>
      </c>
      <c r="E62" s="589" t="s">
        <v>10</v>
      </c>
      <c r="F62" s="663"/>
      <c r="G62" s="666"/>
      <c r="H62" s="400">
        <f t="shared" si="5"/>
        <v>500000</v>
      </c>
      <c r="I62" s="395">
        <v>500000</v>
      </c>
      <c r="J62" s="396"/>
      <c r="K62" s="396"/>
    </row>
    <row r="63" spans="1:13" s="43" customFormat="1" ht="40.5" customHeight="1">
      <c r="A63" s="42"/>
      <c r="B63" s="586" t="s">
        <v>618</v>
      </c>
      <c r="C63" s="588" t="s">
        <v>234</v>
      </c>
      <c r="D63" s="588" t="s">
        <v>235</v>
      </c>
      <c r="E63" s="589" t="s">
        <v>236</v>
      </c>
      <c r="F63" s="663"/>
      <c r="G63" s="666"/>
      <c r="H63" s="400">
        <f>I63+J63</f>
        <v>1000000</v>
      </c>
      <c r="I63" s="401"/>
      <c r="J63" s="396">
        <v>1000000</v>
      </c>
      <c r="K63" s="396">
        <v>1000000</v>
      </c>
      <c r="M63" s="9"/>
    </row>
    <row r="64" spans="1:11" s="43" customFormat="1" ht="33" customHeight="1">
      <c r="A64" s="42"/>
      <c r="B64" s="586" t="s">
        <v>616</v>
      </c>
      <c r="C64" s="588" t="s">
        <v>271</v>
      </c>
      <c r="D64" s="588" t="s">
        <v>67</v>
      </c>
      <c r="E64" s="591" t="s">
        <v>272</v>
      </c>
      <c r="F64" s="663"/>
      <c r="G64" s="666"/>
      <c r="H64" s="400">
        <f t="shared" si="5"/>
        <v>300000</v>
      </c>
      <c r="I64" s="401"/>
      <c r="J64" s="396">
        <v>300000</v>
      </c>
      <c r="K64" s="396">
        <v>300000</v>
      </c>
    </row>
    <row r="65" spans="2:11" ht="28.5" customHeight="1">
      <c r="B65" s="586" t="s">
        <v>612</v>
      </c>
      <c r="C65" s="175">
        <v>8311</v>
      </c>
      <c r="D65" s="586" t="s">
        <v>411</v>
      </c>
      <c r="E65" s="177" t="s">
        <v>412</v>
      </c>
      <c r="F65" s="664"/>
      <c r="G65" s="667"/>
      <c r="H65" s="400">
        <f t="shared" si="5"/>
        <v>200000</v>
      </c>
      <c r="I65" s="401"/>
      <c r="J65" s="396">
        <v>200000</v>
      </c>
      <c r="K65" s="396"/>
    </row>
    <row r="66" spans="2:11" ht="31.5">
      <c r="B66" s="207" t="s">
        <v>186</v>
      </c>
      <c r="C66" s="207" t="s">
        <v>187</v>
      </c>
      <c r="D66" s="220"/>
      <c r="E66" s="196" t="s">
        <v>368</v>
      </c>
      <c r="F66" s="569"/>
      <c r="G66" s="570"/>
      <c r="H66" s="403">
        <f>H67</f>
        <v>10325234</v>
      </c>
      <c r="I66" s="403">
        <f aca="true" t="shared" si="6" ref="I66:K67">I67</f>
        <v>10325234</v>
      </c>
      <c r="J66" s="403">
        <f t="shared" si="6"/>
        <v>0</v>
      </c>
      <c r="K66" s="403">
        <f t="shared" si="6"/>
        <v>0</v>
      </c>
    </row>
    <row r="67" spans="2:11" ht="31.5">
      <c r="B67" s="207" t="s">
        <v>188</v>
      </c>
      <c r="C67" s="207"/>
      <c r="D67" s="220"/>
      <c r="E67" s="196" t="s">
        <v>369</v>
      </c>
      <c r="F67" s="569"/>
      <c r="G67" s="570"/>
      <c r="H67" s="403">
        <f>H68</f>
        <v>10325234</v>
      </c>
      <c r="I67" s="403">
        <f t="shared" si="6"/>
        <v>10325234</v>
      </c>
      <c r="J67" s="403">
        <f t="shared" si="6"/>
        <v>0</v>
      </c>
      <c r="K67" s="403">
        <f t="shared" si="6"/>
        <v>0</v>
      </c>
    </row>
    <row r="68" spans="2:11" ht="40.5" customHeight="1">
      <c r="B68" s="286" t="s">
        <v>492</v>
      </c>
      <c r="C68" s="175" t="s">
        <v>493</v>
      </c>
      <c r="D68" s="286" t="s">
        <v>494</v>
      </c>
      <c r="E68" s="177" t="s">
        <v>495</v>
      </c>
      <c r="F68" s="592" t="s">
        <v>499</v>
      </c>
      <c r="G68" s="593" t="s">
        <v>500</v>
      </c>
      <c r="H68" s="400">
        <f>I68+J68</f>
        <v>10325234</v>
      </c>
      <c r="I68" s="395">
        <v>10325234</v>
      </c>
      <c r="J68" s="396"/>
      <c r="K68" s="396"/>
    </row>
    <row r="69" spans="1:13" s="13" customFormat="1" ht="33.75" customHeight="1">
      <c r="A69" s="31"/>
      <c r="B69" s="378"/>
      <c r="C69" s="73"/>
      <c r="D69" s="73"/>
      <c r="E69" s="206" t="s">
        <v>286</v>
      </c>
      <c r="F69" s="402"/>
      <c r="G69" s="601"/>
      <c r="H69" s="403">
        <f t="shared" si="5"/>
        <v>211513427</v>
      </c>
      <c r="I69" s="379">
        <f>I45+I42+I34+I24+I10+I66</f>
        <v>179253467</v>
      </c>
      <c r="J69" s="379">
        <f>J45+J42+J34+J24+J10+J66</f>
        <v>32259960</v>
      </c>
      <c r="K69" s="379">
        <f>K45+K42+K34+K24+K10+K66</f>
        <v>31899360</v>
      </c>
      <c r="M69" s="571">
        <f>J69-K69</f>
        <v>360600</v>
      </c>
    </row>
    <row r="70" spans="8:11" ht="15.75">
      <c r="H70" s="66"/>
      <c r="I70" s="66"/>
      <c r="J70" s="67"/>
      <c r="K70" s="68"/>
    </row>
    <row r="71" spans="2:11" ht="23.25" customHeight="1">
      <c r="B71" s="44"/>
      <c r="C71" s="44"/>
      <c r="D71" s="44"/>
      <c r="E71" s="44"/>
      <c r="F71" s="109"/>
      <c r="G71" s="44"/>
      <c r="H71" s="246"/>
      <c r="I71" s="246"/>
      <c r="J71" s="246"/>
      <c r="K71" s="246"/>
    </row>
    <row r="72" spans="2:17" ht="20.25" customHeight="1">
      <c r="B72" s="45"/>
      <c r="C72" s="45"/>
      <c r="D72" s="45"/>
      <c r="E72" s="45"/>
      <c r="F72" s="110"/>
      <c r="G72" s="45"/>
      <c r="H72" s="45"/>
      <c r="I72" s="45"/>
      <c r="J72" s="46"/>
      <c r="K72" s="244"/>
      <c r="L72" s="45"/>
      <c r="M72" s="45"/>
      <c r="N72" s="45"/>
      <c r="O72" s="45"/>
      <c r="P72" s="45"/>
      <c r="Q72" s="45"/>
    </row>
    <row r="73" spans="1:17" s="57" customFormat="1" ht="20.25" customHeight="1">
      <c r="A73" s="63"/>
      <c r="B73" s="64"/>
      <c r="C73" s="64"/>
      <c r="D73" s="64"/>
      <c r="E73" s="65" t="s">
        <v>49</v>
      </c>
      <c r="F73" s="111"/>
      <c r="G73" s="64"/>
      <c r="H73" s="57" t="s">
        <v>471</v>
      </c>
      <c r="I73" s="64"/>
      <c r="J73" s="245"/>
      <c r="K73" s="64"/>
      <c r="L73" s="64"/>
      <c r="M73" s="64"/>
      <c r="N73" s="64"/>
      <c r="O73" s="64"/>
      <c r="P73" s="64"/>
      <c r="Q73" s="64"/>
    </row>
    <row r="74" spans="2:17" ht="30.75" customHeight="1">
      <c r="B74" s="45"/>
      <c r="C74" s="45"/>
      <c r="D74" s="45"/>
      <c r="E74" s="45"/>
      <c r="F74" s="110"/>
      <c r="G74" s="45"/>
      <c r="H74" s="45"/>
      <c r="I74" s="45"/>
      <c r="J74" s="411"/>
      <c r="K74" s="45"/>
      <c r="L74" s="45"/>
      <c r="M74" s="45"/>
      <c r="N74" s="45"/>
      <c r="O74" s="45"/>
      <c r="P74" s="45"/>
      <c r="Q74" s="45"/>
    </row>
    <row r="75" spans="2:17" ht="21" customHeight="1">
      <c r="B75" s="45"/>
      <c r="C75" s="45"/>
      <c r="D75" s="45"/>
      <c r="E75" s="45"/>
      <c r="F75" s="110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</row>
    <row r="81" ht="15.75">
      <c r="J81" s="107"/>
    </row>
  </sheetData>
  <sheetProtection/>
  <autoFilter ref="A8:Q69"/>
  <mergeCells count="54">
    <mergeCell ref="G39:G41"/>
    <mergeCell ref="B49:B50"/>
    <mergeCell ref="C49:C50"/>
    <mergeCell ref="D49:D50"/>
    <mergeCell ref="E49:E50"/>
    <mergeCell ref="F57:F58"/>
    <mergeCell ref="G57:G58"/>
    <mergeCell ref="G54:G55"/>
    <mergeCell ref="E37:E38"/>
    <mergeCell ref="B47:B48"/>
    <mergeCell ref="C47:C48"/>
    <mergeCell ref="D47:D48"/>
    <mergeCell ref="E47:E48"/>
    <mergeCell ref="F39:F41"/>
    <mergeCell ref="F51:F52"/>
    <mergeCell ref="G51:G52"/>
    <mergeCell ref="F54:F55"/>
    <mergeCell ref="F26:F27"/>
    <mergeCell ref="G26:G27"/>
    <mergeCell ref="B30:B31"/>
    <mergeCell ref="C30:C31"/>
    <mergeCell ref="D30:D31"/>
    <mergeCell ref="E30:E31"/>
    <mergeCell ref="F28:F29"/>
    <mergeCell ref="G28:G29"/>
    <mergeCell ref="J7:K7"/>
    <mergeCell ref="G2:K2"/>
    <mergeCell ref="I7:I8"/>
    <mergeCell ref="G7:G8"/>
    <mergeCell ref="G14:G15"/>
    <mergeCell ref="B21:B22"/>
    <mergeCell ref="C21:C22"/>
    <mergeCell ref="D21:D22"/>
    <mergeCell ref="E21:E22"/>
    <mergeCell ref="B18:B19"/>
    <mergeCell ref="C18:C19"/>
    <mergeCell ref="D18:D19"/>
    <mergeCell ref="E18:E19"/>
    <mergeCell ref="F14:F15"/>
    <mergeCell ref="E7:E8"/>
    <mergeCell ref="F7:F8"/>
    <mergeCell ref="E12:E13"/>
    <mergeCell ref="C12:C13"/>
    <mergeCell ref="D12:D13"/>
    <mergeCell ref="F61:F65"/>
    <mergeCell ref="G61:G65"/>
    <mergeCell ref="B12:B13"/>
    <mergeCell ref="B1:I1"/>
    <mergeCell ref="H7:H8"/>
    <mergeCell ref="B7:B8"/>
    <mergeCell ref="C7:C8"/>
    <mergeCell ref="D7:D8"/>
    <mergeCell ref="E5:F5"/>
    <mergeCell ref="B4:K4"/>
  </mergeCells>
  <printOptions/>
  <pageMargins left="0.2362204724409449" right="0.1968503937007874" top="0.4724409448818898" bottom="0.2755905511811024" header="0.2362204724409449" footer="0.2755905511811024"/>
  <pageSetup fitToHeight="4" fitToWidth="1" horizontalDpi="600" verticalDpi="600" orientation="landscape" paperSize="9" scale="52" r:id="rId1"/>
  <rowBreaks count="6" manualBreakCount="6">
    <brk id="44" max="10" man="1"/>
    <brk id="46" max="10" man="1"/>
    <brk id="53" max="10" man="1"/>
    <brk id="71" max="10" man="1"/>
    <brk id="87" min="1" max="11" man="1"/>
    <brk id="91" min="1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view="pageBreakPreview" zoomScaleNormal="75" zoomScaleSheetLayoutView="100" zoomScalePageLayoutView="0" workbookViewId="0" topLeftCell="B22">
      <selection activeCell="E27" sqref="E27"/>
    </sheetView>
  </sheetViews>
  <sheetFormatPr defaultColWidth="7.875" defaultRowHeight="12.75"/>
  <cols>
    <col min="1" max="1" width="3.25390625" style="7" hidden="1" customWidth="1"/>
    <col min="2" max="2" width="14.125" style="34" customWidth="1"/>
    <col min="3" max="3" width="15.25390625" style="34" customWidth="1"/>
    <col min="4" max="4" width="20.00390625" style="34" customWidth="1"/>
    <col min="5" max="5" width="57.875" style="34" customWidth="1"/>
    <col min="6" max="6" width="18.125" style="34" customWidth="1"/>
    <col min="7" max="7" width="6.75390625" style="8" customWidth="1"/>
    <col min="8" max="16384" width="7.875" style="9" customWidth="1"/>
  </cols>
  <sheetData>
    <row r="1" spans="2:6" ht="13.5" customHeight="1">
      <c r="B1" s="670"/>
      <c r="C1" s="670"/>
      <c r="D1" s="670"/>
      <c r="E1" s="670"/>
      <c r="F1" s="670"/>
    </row>
    <row r="2" spans="4:8" ht="84" customHeight="1">
      <c r="D2" s="17"/>
      <c r="E2" s="712" t="s">
        <v>600</v>
      </c>
      <c r="F2" s="712"/>
      <c r="G2" s="712"/>
      <c r="H2" s="49"/>
    </row>
    <row r="3" spans="4:8" ht="15.75">
      <c r="D3" s="59"/>
      <c r="E3" s="118" t="s">
        <v>376</v>
      </c>
      <c r="F3" s="59"/>
      <c r="G3" s="49"/>
      <c r="H3" s="49"/>
    </row>
    <row r="4" spans="4:8" ht="15.75">
      <c r="D4" s="59"/>
      <c r="E4" s="118"/>
      <c r="F4" s="59"/>
      <c r="G4" s="49"/>
      <c r="H4" s="49"/>
    </row>
    <row r="5" spans="3:8" ht="68.25" customHeight="1">
      <c r="C5" s="709" t="s">
        <v>622</v>
      </c>
      <c r="D5" s="709"/>
      <c r="E5" s="709"/>
      <c r="F5" s="59"/>
      <c r="G5" s="49"/>
      <c r="H5" s="49"/>
    </row>
    <row r="6" spans="3:8" ht="26.25" customHeight="1">
      <c r="C6" s="114"/>
      <c r="D6" s="114"/>
      <c r="E6" s="114"/>
      <c r="F6" s="59"/>
      <c r="G6" s="49"/>
      <c r="H6" s="49"/>
    </row>
    <row r="7" spans="2:6" ht="18.75">
      <c r="B7" s="706" t="s">
        <v>386</v>
      </c>
      <c r="C7" s="706"/>
      <c r="D7" s="154"/>
      <c r="E7" s="152"/>
      <c r="F7" s="154"/>
    </row>
    <row r="8" spans="2:6" ht="18.75">
      <c r="B8" s="707" t="s">
        <v>331</v>
      </c>
      <c r="C8" s="707"/>
      <c r="D8" s="113"/>
      <c r="E8" s="153"/>
      <c r="F8" s="113"/>
    </row>
    <row r="9" spans="2:6" ht="15.75">
      <c r="B9" s="96"/>
      <c r="C9" s="97"/>
      <c r="D9" s="97"/>
      <c r="E9" s="97"/>
      <c r="F9" s="98" t="s">
        <v>89</v>
      </c>
    </row>
    <row r="10" spans="1:6" ht="118.5" customHeight="1">
      <c r="A10" s="38"/>
      <c r="B10" s="710" t="s">
        <v>292</v>
      </c>
      <c r="C10" s="710" t="s">
        <v>293</v>
      </c>
      <c r="D10" s="710" t="s">
        <v>294</v>
      </c>
      <c r="E10" s="710" t="s">
        <v>295</v>
      </c>
      <c r="F10" s="711" t="s">
        <v>290</v>
      </c>
    </row>
    <row r="11" spans="1:7" s="40" customFormat="1" ht="15.75">
      <c r="A11" s="39"/>
      <c r="B11" s="710"/>
      <c r="C11" s="710"/>
      <c r="D11" s="710"/>
      <c r="E11" s="710"/>
      <c r="F11" s="711"/>
      <c r="G11" s="21"/>
    </row>
    <row r="12" spans="1:7" s="40" customFormat="1" ht="15.75">
      <c r="A12" s="39"/>
      <c r="B12" s="23">
        <v>1</v>
      </c>
      <c r="C12" s="23">
        <f>B12+1</f>
        <v>2</v>
      </c>
      <c r="D12" s="151">
        <f>C12+1</f>
        <v>3</v>
      </c>
      <c r="E12" s="23">
        <f>D12+1</f>
        <v>4</v>
      </c>
      <c r="F12" s="23">
        <f>E12+1</f>
        <v>5</v>
      </c>
      <c r="G12" s="21"/>
    </row>
    <row r="13" spans="1:7" s="18" customFormat="1" ht="38.25" customHeight="1">
      <c r="A13" s="41"/>
      <c r="B13" s="74" t="s">
        <v>311</v>
      </c>
      <c r="C13" s="74" t="s">
        <v>312</v>
      </c>
      <c r="D13" s="75"/>
      <c r="E13" s="76" t="s">
        <v>309</v>
      </c>
      <c r="F13" s="82">
        <f>F14</f>
        <v>240500</v>
      </c>
      <c r="G13" s="8"/>
    </row>
    <row r="14" spans="1:7" s="13" customFormat="1" ht="42.75" customHeight="1">
      <c r="A14" s="31"/>
      <c r="B14" s="74" t="s">
        <v>314</v>
      </c>
      <c r="C14" s="74"/>
      <c r="D14" s="75"/>
      <c r="E14" s="76" t="s">
        <v>310</v>
      </c>
      <c r="F14" s="82">
        <f>F15</f>
        <v>240500</v>
      </c>
      <c r="G14" s="12"/>
    </row>
    <row r="15" spans="2:6" ht="110.25">
      <c r="B15" s="92" t="s">
        <v>321</v>
      </c>
      <c r="C15" s="92" t="s">
        <v>14</v>
      </c>
      <c r="D15" s="93" t="s">
        <v>67</v>
      </c>
      <c r="E15" s="100" t="s">
        <v>291</v>
      </c>
      <c r="F15" s="72">
        <f>F16</f>
        <v>240500</v>
      </c>
    </row>
    <row r="16" spans="2:6" ht="47.25">
      <c r="B16" s="92"/>
      <c r="C16" s="92"/>
      <c r="D16" s="103"/>
      <c r="E16" s="100" t="s">
        <v>490</v>
      </c>
      <c r="F16" s="72">
        <f>F17</f>
        <v>240500</v>
      </c>
    </row>
    <row r="17" spans="1:7" s="11" customFormat="1" ht="31.5">
      <c r="A17" s="10"/>
      <c r="B17" s="69"/>
      <c r="C17" s="69"/>
      <c r="D17" s="163"/>
      <c r="E17" s="99" t="s">
        <v>394</v>
      </c>
      <c r="F17" s="164">
        <v>240500</v>
      </c>
      <c r="G17" s="165"/>
    </row>
    <row r="18" spans="1:7" s="11" customFormat="1" ht="31.5">
      <c r="A18" s="10"/>
      <c r="B18" s="207" t="s">
        <v>179</v>
      </c>
      <c r="C18" s="207" t="s">
        <v>178</v>
      </c>
      <c r="D18" s="220"/>
      <c r="E18" s="196" t="s">
        <v>360</v>
      </c>
      <c r="F18" s="210">
        <f>F19</f>
        <v>115000</v>
      </c>
      <c r="G18" s="165"/>
    </row>
    <row r="19" spans="1:7" s="11" customFormat="1" ht="47.25">
      <c r="A19" s="10"/>
      <c r="B19" s="207" t="s">
        <v>180</v>
      </c>
      <c r="C19" s="207"/>
      <c r="D19" s="220"/>
      <c r="E19" s="179" t="s">
        <v>361</v>
      </c>
      <c r="F19" s="210">
        <f>F20</f>
        <v>115000</v>
      </c>
      <c r="G19" s="165"/>
    </row>
    <row r="20" spans="1:7" s="11" customFormat="1" ht="110.25">
      <c r="A20" s="10"/>
      <c r="B20" s="211" t="s">
        <v>491</v>
      </c>
      <c r="C20" s="211" t="s">
        <v>14</v>
      </c>
      <c r="D20" s="212" t="s">
        <v>67</v>
      </c>
      <c r="E20" s="100" t="s">
        <v>291</v>
      </c>
      <c r="F20" s="94">
        <f>F21</f>
        <v>115000</v>
      </c>
      <c r="G20" s="165"/>
    </row>
    <row r="21" spans="1:7" s="11" customFormat="1" ht="47.25">
      <c r="A21" s="10"/>
      <c r="B21" s="204"/>
      <c r="C21" s="211"/>
      <c r="D21" s="212"/>
      <c r="E21" s="100" t="s">
        <v>490</v>
      </c>
      <c r="F21" s="94">
        <f>F22</f>
        <v>115000</v>
      </c>
      <c r="G21" s="165"/>
    </row>
    <row r="22" spans="1:7" s="11" customFormat="1" ht="31.5">
      <c r="A22" s="10"/>
      <c r="B22" s="204"/>
      <c r="C22" s="204"/>
      <c r="D22" s="163"/>
      <c r="E22" s="99" t="s">
        <v>394</v>
      </c>
      <c r="F22" s="164">
        <v>115000</v>
      </c>
      <c r="G22" s="165"/>
    </row>
    <row r="23" spans="1:7" s="13" customFormat="1" ht="36.75" customHeight="1">
      <c r="A23" s="31"/>
      <c r="B23" s="207" t="s">
        <v>227</v>
      </c>
      <c r="C23" s="207" t="s">
        <v>226</v>
      </c>
      <c r="D23" s="208"/>
      <c r="E23" s="209" t="s">
        <v>364</v>
      </c>
      <c r="F23" s="82">
        <f>F24</f>
        <v>60000</v>
      </c>
      <c r="G23" s="12"/>
    </row>
    <row r="24" spans="1:7" s="13" customFormat="1" ht="51.75" customHeight="1">
      <c r="A24" s="31"/>
      <c r="B24" s="207" t="s">
        <v>228</v>
      </c>
      <c r="C24" s="207"/>
      <c r="D24" s="208"/>
      <c r="E24" s="209" t="s">
        <v>365</v>
      </c>
      <c r="F24" s="82">
        <f>F25</f>
        <v>60000</v>
      </c>
      <c r="G24" s="12"/>
    </row>
    <row r="25" spans="2:6" ht="110.25">
      <c r="B25" s="596" t="s">
        <v>617</v>
      </c>
      <c r="C25" s="596" t="s">
        <v>14</v>
      </c>
      <c r="D25" s="597" t="s">
        <v>67</v>
      </c>
      <c r="E25" s="100" t="s">
        <v>291</v>
      </c>
      <c r="F25" s="94">
        <f>F26</f>
        <v>60000</v>
      </c>
    </row>
    <row r="26" spans="2:6" ht="47.25">
      <c r="B26" s="69"/>
      <c r="C26" s="92"/>
      <c r="D26" s="93"/>
      <c r="E26" s="100" t="s">
        <v>490</v>
      </c>
      <c r="F26" s="94">
        <f>F27</f>
        <v>60000</v>
      </c>
    </row>
    <row r="27" spans="2:6" ht="31.5">
      <c r="B27" s="69"/>
      <c r="C27" s="92"/>
      <c r="D27" s="103"/>
      <c r="E27" s="99" t="s">
        <v>394</v>
      </c>
      <c r="F27" s="94">
        <v>60000</v>
      </c>
    </row>
    <row r="28" spans="2:6" ht="33.75" customHeight="1">
      <c r="B28" s="91"/>
      <c r="C28" s="73"/>
      <c r="D28" s="73"/>
      <c r="E28" s="91" t="s">
        <v>286</v>
      </c>
      <c r="F28" s="95">
        <f>F13+F23+F19</f>
        <v>415500</v>
      </c>
    </row>
    <row r="30" spans="2:6" ht="23.25" customHeight="1">
      <c r="B30" s="47" t="s">
        <v>49</v>
      </c>
      <c r="C30" s="9"/>
      <c r="D30" s="9"/>
      <c r="E30" s="365" t="s">
        <v>471</v>
      </c>
      <c r="F30" s="9"/>
    </row>
    <row r="31" spans="2:14" ht="20.25" customHeight="1">
      <c r="B31" s="708"/>
      <c r="C31" s="708"/>
      <c r="D31" s="708"/>
      <c r="E31" s="708"/>
      <c r="F31" s="708"/>
      <c r="G31" s="46"/>
      <c r="H31" s="45"/>
      <c r="I31" s="45"/>
      <c r="J31" s="45"/>
      <c r="K31" s="45"/>
      <c r="L31" s="45"/>
      <c r="M31" s="45"/>
      <c r="N31" s="45"/>
    </row>
    <row r="32" spans="2:14" ht="20.25" customHeight="1">
      <c r="B32" s="618"/>
      <c r="C32" s="618"/>
      <c r="D32" s="618"/>
      <c r="E32" s="618"/>
      <c r="F32" s="618"/>
      <c r="G32" s="618"/>
      <c r="H32" s="618"/>
      <c r="I32" s="618"/>
      <c r="J32" s="618"/>
      <c r="K32" s="618"/>
      <c r="L32" s="618"/>
      <c r="M32" s="618"/>
      <c r="N32" s="618"/>
    </row>
    <row r="33" spans="2:14" ht="30.75" customHeight="1">
      <c r="B33" s="708"/>
      <c r="C33" s="708"/>
      <c r="D33" s="708"/>
      <c r="E33" s="708"/>
      <c r="F33" s="708"/>
      <c r="G33" s="46"/>
      <c r="H33" s="45"/>
      <c r="I33" s="45"/>
      <c r="J33" s="45"/>
      <c r="K33" s="45"/>
      <c r="L33" s="45"/>
      <c r="M33" s="45"/>
      <c r="N33" s="45"/>
    </row>
    <row r="34" spans="2:14" ht="21" customHeight="1">
      <c r="B34" s="618"/>
      <c r="C34" s="618"/>
      <c r="D34" s="618"/>
      <c r="E34" s="618"/>
      <c r="F34" s="618"/>
      <c r="G34" s="618"/>
      <c r="H34" s="618"/>
      <c r="I34" s="618"/>
      <c r="J34" s="618"/>
      <c r="K34" s="618"/>
      <c r="L34" s="618"/>
      <c r="M34" s="618"/>
      <c r="N34" s="618"/>
    </row>
  </sheetData>
  <sheetProtection/>
  <mergeCells count="14">
    <mergeCell ref="D10:D11"/>
    <mergeCell ref="E10:E11"/>
    <mergeCell ref="F10:F11"/>
    <mergeCell ref="E2:G2"/>
    <mergeCell ref="B7:C7"/>
    <mergeCell ref="B8:C8"/>
    <mergeCell ref="B33:F33"/>
    <mergeCell ref="B34:N34"/>
    <mergeCell ref="B1:F1"/>
    <mergeCell ref="B31:F31"/>
    <mergeCell ref="B32:N32"/>
    <mergeCell ref="C5:E5"/>
    <mergeCell ref="B10:B11"/>
    <mergeCell ref="C10:C11"/>
  </mergeCells>
  <printOptions/>
  <pageMargins left="0.7874015748031497" right="0.1968503937007874" top="0.4724409448818898" bottom="0.2755905511811024" header="0.2362204724409449" footer="0.2755905511811024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Yura_2</dc:creator>
  <cp:keywords/>
  <dc:description/>
  <cp:lastModifiedBy>HOME</cp:lastModifiedBy>
  <cp:lastPrinted>2020-12-16T11:25:50Z</cp:lastPrinted>
  <dcterms:created xsi:type="dcterms:W3CDTF">2011-12-26T08:50:57Z</dcterms:created>
  <dcterms:modified xsi:type="dcterms:W3CDTF">2020-12-16T11:27:30Z</dcterms:modified>
  <cp:category/>
  <cp:version/>
  <cp:contentType/>
  <cp:contentStatus/>
</cp:coreProperties>
</file>