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8800" windowHeight="11655" activeTab="0"/>
  </bookViews>
  <sheets>
    <sheet name="dod 1" sheetId="1" r:id="rId1"/>
    <sheet name="dod 2" sheetId="2" r:id="rId2"/>
    <sheet name="dod 3" sheetId="3" r:id="rId3"/>
    <sheet name="dod 4" sheetId="4" r:id="rId4"/>
    <sheet name="dod 5 " sheetId="5" r:id="rId5"/>
    <sheet name="dod 6." sheetId="6" r:id="rId6"/>
    <sheet name="dod 7." sheetId="7" r:id="rId7"/>
    <sheet name="dod 8" sheetId="8" r:id="rId8"/>
    <sheet name="dod 9" sheetId="9" r:id="rId9"/>
  </sheets>
  <definedNames>
    <definedName name="_xlnm._FilterDatabase" localSheetId="2" hidden="1">'dod 3'!$A$11:$S$110</definedName>
    <definedName name="_xlnm._FilterDatabase" localSheetId="5" hidden="1">'dod 6.'!$A$8:$N$138</definedName>
    <definedName name="_xlnm._FilterDatabase" localSheetId="6" hidden="1">'dod 7.'!$A$8:$Q$69</definedName>
    <definedName name="_xlnm._FilterDatabase" localSheetId="8" hidden="1">'dod 9'!$B$11:$C$152</definedName>
    <definedName name="Z_0033AAC2_B920_4F73_9D48_CFFB5C8BCEA7_.wvu.FilterData" localSheetId="2" hidden="1">'dod 3'!$11:$23</definedName>
    <definedName name="Z_0033AAC2_B920_4F73_9D48_CFFB5C8BCEA7_.wvu.FilterData" localSheetId="8" hidden="1">'dod 9'!$11:$15</definedName>
    <definedName name="Z_0DED55E7_6230_4958_BCE1_6D418833AED3_.wvu.FilterData" localSheetId="2" hidden="1">'dod 3'!$11:$23</definedName>
    <definedName name="Z_0DED55E7_6230_4958_BCE1_6D418833AED3_.wvu.FilterData" localSheetId="8" hidden="1">'dod 9'!$11:$15</definedName>
    <definedName name="Z_0E9CAA04_93B7_451C_85A9_461E9213A529_.wvu.FilterData" localSheetId="2" hidden="1">'dod 3'!$11:$23</definedName>
    <definedName name="Z_0E9CAA04_93B7_451C_85A9_461E9213A529_.wvu.FilterData" localSheetId="8" hidden="1">'dod 9'!$11:$15</definedName>
    <definedName name="Z_11AC6440_61C3_4852_8190_8999E8F40364_.wvu.FilterData" localSheetId="2" hidden="1">'dod 3'!$11:$108</definedName>
    <definedName name="Z_11AC6440_61C3_4852_8190_8999E8F40364_.wvu.FilterData" localSheetId="6" hidden="1">'dod 7.'!$A$8:$Q$62</definedName>
    <definedName name="Z_11AC6440_61C3_4852_8190_8999E8F40364_.wvu.FilterData" localSheetId="8" hidden="1">'dod 9'!$11:$152</definedName>
    <definedName name="Z_1C9132E7_CA75_44BA_8ABD_6F2BEE887752_.wvu.FilterData" localSheetId="2" hidden="1">'dod 3'!$11:$108</definedName>
    <definedName name="Z_1C9132E7_CA75_44BA_8ABD_6F2BEE887752_.wvu.FilterData" localSheetId="8" hidden="1">'dod 9'!$11:$152</definedName>
    <definedName name="Z_1DEAC8BC_B765_49FE_9A02_C3463788AC3A_.wvu.FilterData" localSheetId="2" hidden="1">'dod 3'!$11:$108</definedName>
    <definedName name="Z_1DEAC8BC_B765_49FE_9A02_C3463788AC3A_.wvu.FilterData" localSheetId="8" hidden="1">'dod 9'!$11:$152</definedName>
    <definedName name="Z_28997FF8_C6EF_4EB7_AE53_CE712CBB7746_.wvu.FilterData" localSheetId="2" hidden="1">'dod 3'!$11:$108</definedName>
    <definedName name="Z_28997FF8_C6EF_4EB7_AE53_CE712CBB7746_.wvu.FilterData" localSheetId="6" hidden="1">'dod 7.'!$A$8:$Q$62</definedName>
    <definedName name="Z_28997FF8_C6EF_4EB7_AE53_CE712CBB7746_.wvu.FilterData" localSheetId="8" hidden="1">'dod 9'!$11:$152</definedName>
    <definedName name="Z_2B21C675_AF65_49D3_9499_0872BF809CCE_.wvu.FilterData" localSheetId="2" hidden="1">'dod 3'!$11:$108</definedName>
    <definedName name="Z_2B21C675_AF65_49D3_9499_0872BF809CCE_.wvu.FilterData" localSheetId="8" hidden="1">'dod 9'!$11:$152</definedName>
    <definedName name="Z_31FC14EC_B4AA_4144_99F2_5D86B82BE01F_.wvu.FilterData" localSheetId="2" hidden="1">'dod 3'!$11:$108</definedName>
    <definedName name="Z_31FC14EC_B4AA_4144_99F2_5D86B82BE01F_.wvu.FilterData" localSheetId="6" hidden="1">'dod 7.'!$A$8:$Q$62</definedName>
    <definedName name="Z_31FC14EC_B4AA_4144_99F2_5D86B82BE01F_.wvu.FilterData" localSheetId="8" hidden="1">'dod 9'!$11:$152</definedName>
    <definedName name="Z_3C6734B6_C220_41DD_9B45_03CED7F17FB3_.wvu.FilterData" localSheetId="2" hidden="1">'dod 3'!$11:$11</definedName>
    <definedName name="Z_3C6734B6_C220_41DD_9B45_03CED7F17FB3_.wvu.FilterData" localSheetId="8" hidden="1">'dod 9'!$11:$11</definedName>
    <definedName name="Z_4414F7FE_09B9_48B9_9B91_BDA3C39C803A_.wvu.FilterData" localSheetId="2" hidden="1">'dod 3'!$11:$108</definedName>
    <definedName name="Z_4414F7FE_09B9_48B9_9B91_BDA3C39C803A_.wvu.FilterData" localSheetId="8" hidden="1">'dod 9'!$11:$152</definedName>
    <definedName name="Z_445F1775_CED9_4D0B_A7BD_41493DC3AC4E_.wvu.FilterData" localSheetId="2" hidden="1">'dod 3'!$11:$108</definedName>
    <definedName name="Z_445F1775_CED9_4D0B_A7BD_41493DC3AC4E_.wvu.FilterData" localSheetId="6" hidden="1">'dod 7.'!$A$8:$Q$62</definedName>
    <definedName name="Z_445F1775_CED9_4D0B_A7BD_41493DC3AC4E_.wvu.FilterData" localSheetId="8" hidden="1">'dod 9'!$11:$152</definedName>
    <definedName name="Z_48361BAD_8962_4A12_AC97_C282DE613703_.wvu.FilterData" localSheetId="2" hidden="1">'dod 3'!$11:$108</definedName>
    <definedName name="Z_48361BAD_8962_4A12_AC97_C282DE613703_.wvu.FilterData" localSheetId="6" hidden="1">'dod 7.'!$A$8:$Q$62</definedName>
    <definedName name="Z_48361BAD_8962_4A12_AC97_C282DE613703_.wvu.FilterData" localSheetId="8" hidden="1">'dod 9'!$11:$152</definedName>
    <definedName name="Z_54DB8D45_4502_4737_8D52_8D5C09276933_.wvu.FilterData" localSheetId="2" hidden="1">'dod 3'!$A$11:$HK$108</definedName>
    <definedName name="Z_54DB8D45_4502_4737_8D52_8D5C09276933_.wvu.FilterData" localSheetId="8" hidden="1">'dod 9'!$B$11:$GU$152</definedName>
    <definedName name="Z_56A43029_7913_4B2A_9B15_4E68CF4AEF53_.wvu.FilterData" localSheetId="2" hidden="1">'dod 3'!$11:$108</definedName>
    <definedName name="Z_56A43029_7913_4B2A_9B15_4E68CF4AEF53_.wvu.FilterData" localSheetId="8" hidden="1">'dod 9'!$11:$152</definedName>
    <definedName name="Z_56D99FDE_5699_44AD_AA0B_F2B3FC854751_.wvu.FilterData" localSheetId="6" hidden="1">'dod 7.'!$A$8:$Q$69</definedName>
    <definedName name="Z_6F106A4C_0BDB_4B41_B249_ECCE803744DB_.wvu.FilterData" localSheetId="2" hidden="1">'dod 3'!$11:$108</definedName>
    <definedName name="Z_6F106A4C_0BDB_4B41_B249_ECCE803744DB_.wvu.FilterData" localSheetId="6" hidden="1">'dod 7.'!$A$8:$Q$62</definedName>
    <definedName name="Z_6F106A4C_0BDB_4B41_B249_ECCE803744DB_.wvu.FilterData" localSheetId="8" hidden="1">'dod 9'!$11:$152</definedName>
    <definedName name="Z_8ACD6896_2C32_485C_95AA_7BCA3249DD81_.wvu.FilterData" localSheetId="2" hidden="1">'dod 3'!$11:$108</definedName>
    <definedName name="Z_8ACD6896_2C32_485C_95AA_7BCA3249DD81_.wvu.FilterData" localSheetId="6" hidden="1">'dod 7.'!$A$8:$Q$62</definedName>
    <definedName name="Z_8ACD6896_2C32_485C_95AA_7BCA3249DD81_.wvu.FilterData" localSheetId="8" hidden="1">'dod 9'!$11:$152</definedName>
    <definedName name="Z_8B83762C_0289_468A_B258_CF4837FE318E_.wvu.FilterData" localSheetId="2" hidden="1">'dod 3'!$A$11:$HK$108</definedName>
    <definedName name="Z_8B83762C_0289_468A_B258_CF4837FE318E_.wvu.FilterData" localSheetId="8" hidden="1">'dod 9'!$B$11:$GU$152</definedName>
    <definedName name="Z_8EAF6A76_D45E_47A7_B89D_C380A02EB2AE_.wvu.Cols" localSheetId="7" hidden="1">'dod 8'!$A:$A</definedName>
    <definedName name="Z_8EAF6A76_D45E_47A7_B89D_C380A02EB2AE_.wvu.FilterData" localSheetId="1" hidden="1">'dod 2'!$B$11:$G$30</definedName>
    <definedName name="Z_8EAF6A76_D45E_47A7_B89D_C380A02EB2AE_.wvu.FilterData" localSheetId="2" hidden="1">'dod 3'!$A$11:$HK$108</definedName>
    <definedName name="Z_8EAF6A76_D45E_47A7_B89D_C380A02EB2AE_.wvu.FilterData" localSheetId="5" hidden="1">'dod 6.'!$B$1:$K$46</definedName>
    <definedName name="Z_8EAF6A76_D45E_47A7_B89D_C380A02EB2AE_.wvu.FilterData" localSheetId="6" hidden="1">'dod 7.'!$A$8:$Q$69</definedName>
    <definedName name="Z_8EAF6A76_D45E_47A7_B89D_C380A02EB2AE_.wvu.FilterData" localSheetId="8" hidden="1">'dod 9'!$B$11:$GU$152</definedName>
    <definedName name="Z_8EAF6A76_D45E_47A7_B89D_C380A02EB2AE_.wvu.PrintArea" localSheetId="7" hidden="1">'dod 8'!$A$1:$G$30</definedName>
    <definedName name="Z_8EAF6A76_D45E_47A7_B89D_C380A02EB2AE_.wvu.Rows" localSheetId="2" hidden="1">'dod 3'!$4:$6</definedName>
    <definedName name="Z_8EAF6A76_D45E_47A7_B89D_C380A02EB2AE_.wvu.Rows" localSheetId="8" hidden="1">'dod 9'!$4:$6</definedName>
    <definedName name="Z_9721A3CD_3755_42CC_8166_6A911540B326_.wvu.FilterData" localSheetId="2" hidden="1">'dod 3'!$11:$108</definedName>
    <definedName name="Z_9721A3CD_3755_42CC_8166_6A911540B326_.wvu.FilterData" localSheetId="6" hidden="1">'dod 7.'!$A$8:$Q$62</definedName>
    <definedName name="Z_9721A3CD_3755_42CC_8166_6A911540B326_.wvu.FilterData" localSheetId="8" hidden="1">'dod 9'!$11:$152</definedName>
    <definedName name="Z_9E47F7FB_2299_4731_9D48_129AD813B899_.wvu.FilterData" localSheetId="2" hidden="1">'dod 3'!$11:$23</definedName>
    <definedName name="Z_9E47F7FB_2299_4731_9D48_129AD813B899_.wvu.FilterData" localSheetId="8" hidden="1">'dod 9'!$11:$15</definedName>
    <definedName name="Z_B24EFFB4_7561_4B2C_A446_3A3B42B84F18_.wvu.FilterData" localSheetId="2" hidden="1">'dod 3'!$A$11:$HK$108</definedName>
    <definedName name="Z_B24EFFB4_7561_4B2C_A446_3A3B42B84F18_.wvu.FilterData" localSheetId="8" hidden="1">'dod 9'!$B$11:$GU$152</definedName>
    <definedName name="Z_B79DC64E_FF8D_43DA_A470_9D3E3809D007_.wvu.FilterData" localSheetId="2" hidden="1">'dod 3'!$A$11:$HK$108</definedName>
    <definedName name="Z_B79DC64E_FF8D_43DA_A470_9D3E3809D007_.wvu.FilterData" localSheetId="5" hidden="1">'dod 6.'!$B$1:$K$46</definedName>
    <definedName name="Z_B79DC64E_FF8D_43DA_A470_9D3E3809D007_.wvu.FilterData" localSheetId="8" hidden="1">'dod 9'!$B$11:$GU$152</definedName>
    <definedName name="Z_D045CBB3_E236_4B88_9BC4_A2FE8FE44B31_.wvu.Cols" localSheetId="2" hidden="1">'dod 3'!#REF!</definedName>
    <definedName name="Z_D045CBB3_E236_4B88_9BC4_A2FE8FE44B31_.wvu.Cols" localSheetId="7" hidden="1">'dod 8'!$A:$A</definedName>
    <definedName name="Z_D045CBB3_E236_4B88_9BC4_A2FE8FE44B31_.wvu.Cols" localSheetId="8" hidden="1">'dod 9'!#REF!</definedName>
    <definedName name="Z_D045CBB3_E236_4B88_9BC4_A2FE8FE44B31_.wvu.FilterData" localSheetId="2" hidden="1">'dod 3'!$11:$108</definedName>
    <definedName name="Z_D045CBB3_E236_4B88_9BC4_A2FE8FE44B31_.wvu.FilterData" localSheetId="5" hidden="1">'dod 6.'!#REF!</definedName>
    <definedName name="Z_D045CBB3_E236_4B88_9BC4_A2FE8FE44B31_.wvu.FilterData" localSheetId="6" hidden="1">'dod 7.'!$A$8:$Q$62</definedName>
    <definedName name="Z_D045CBB3_E236_4B88_9BC4_A2FE8FE44B31_.wvu.FilterData" localSheetId="8" hidden="1">'dod 9'!$11:$152</definedName>
    <definedName name="Z_D045CBB3_E236_4B88_9BC4_A2FE8FE44B31_.wvu.PrintArea" localSheetId="0" hidden="1">'dod 1'!$A$1:$F$116</definedName>
    <definedName name="Z_D045CBB3_E236_4B88_9BC4_A2FE8FE44B31_.wvu.PrintArea" localSheetId="2" hidden="1">'dod 3'!$A$1:$P$108</definedName>
    <definedName name="Z_D045CBB3_E236_4B88_9BC4_A2FE8FE44B31_.wvu.PrintArea" localSheetId="5" hidden="1">'dod 6.'!$A$1:$K$141</definedName>
    <definedName name="Z_D045CBB3_E236_4B88_9BC4_A2FE8FE44B31_.wvu.PrintArea" localSheetId="6" hidden="1">'dod 7.'!$B$1:$J$72</definedName>
    <definedName name="Z_D045CBB3_E236_4B88_9BC4_A2FE8FE44B31_.wvu.PrintArea" localSheetId="7" hidden="1">'dod 8'!$A$1:$G$30</definedName>
    <definedName name="Z_D045CBB3_E236_4B88_9BC4_A2FE8FE44B31_.wvu.PrintArea" localSheetId="8" hidden="1">'dod 9'!$B$1:$C$152</definedName>
    <definedName name="Z_D045CBB3_E236_4B88_9BC4_A2FE8FE44B31_.wvu.PrintTitles" localSheetId="0" hidden="1">'dod 1'!$7:$7</definedName>
    <definedName name="Z_D045CBB3_E236_4B88_9BC4_A2FE8FE44B31_.wvu.PrintTitles" localSheetId="2" hidden="1">'dod 3'!$7:$11</definedName>
    <definedName name="Z_D045CBB3_E236_4B88_9BC4_A2FE8FE44B31_.wvu.PrintTitles" localSheetId="5" hidden="1">'dod 6.'!$7:$8</definedName>
    <definedName name="Z_D045CBB3_E236_4B88_9BC4_A2FE8FE44B31_.wvu.PrintTitles" localSheetId="6" hidden="1">'dod 7.'!$7:$8</definedName>
    <definedName name="Z_D045CBB3_E236_4B88_9BC4_A2FE8FE44B31_.wvu.PrintTitles" localSheetId="8" hidden="1">'dod 9'!$7:$11</definedName>
    <definedName name="Z_D045CBB3_E236_4B88_9BC4_A2FE8FE44B31_.wvu.Rows" localSheetId="0" hidden="1">'dod 1'!$15:$15,'dod 1'!$58:$58,'dod 1'!$61:$61,'dod 1'!$73:$73,'dod 1'!$83:$83,'dod 1'!$92:$92,'dod 1'!$99:$99</definedName>
    <definedName name="Z_D045CBB3_E236_4B88_9BC4_A2FE8FE44B31_.wvu.Rows" localSheetId="1" hidden="1">'dod 2'!$18:$18,'dod 2'!$29:$29,'dod 2'!$32:$33</definedName>
    <definedName name="Z_D045CBB3_E236_4B88_9BC4_A2FE8FE44B31_.wvu.Rows" localSheetId="5" hidden="1">'dod 6.'!#REF!,'dod 6.'!$91:$91</definedName>
    <definedName name="Z_D73771AD_3E6F_402A_9FCF_E7AE9A12229F_.wvu.FilterData" localSheetId="6" hidden="1">'dod 7.'!$A$8:$Q$69</definedName>
    <definedName name="Z_DEDEAA64_51CB_4221_8ECB_BE176A2F537D_.wvu.FilterData" localSheetId="2" hidden="1">'dod 3'!$11:$108</definedName>
    <definedName name="Z_DEDEAA64_51CB_4221_8ECB_BE176A2F537D_.wvu.FilterData" localSheetId="8" hidden="1">'dod 9'!$11:$152</definedName>
    <definedName name="Z_DF5E3046_FFAF_4551_8634_989A1D0D3888_.wvu.PrintArea" localSheetId="0" hidden="1">'dod 1'!$A$1:$F$109</definedName>
    <definedName name="Z_DF5E3046_FFAF_4551_8634_989A1D0D3888_.wvu.PrintTitles" localSheetId="0" hidden="1">'dod 1'!$7:$7</definedName>
    <definedName name="Z_DF5E3046_FFAF_4551_8634_989A1D0D3888_.wvu.Rows" localSheetId="0" hidden="1">'dod 1'!$15:$15,'dod 1'!$58:$58,'dod 1'!$61:$61,'dod 1'!$73:$73,'dod 1'!$92:$92,'dod 1'!$99:$99</definedName>
    <definedName name="Z_DF5E3046_FFAF_4551_8634_989A1D0D3888_.wvu.Rows" localSheetId="5" hidden="1">'dod 6.'!#REF!,'dod 6.'!#REF!</definedName>
    <definedName name="Z_E03E1436_B621_4C8D_8DEA_D88962720410_.wvu.FilterData" localSheetId="6" hidden="1">'dod 7.'!$A$8:$Q$69</definedName>
    <definedName name="Z_E1C403DE_F5B4_4778_BB71_C2DBA686D8F9_.wvu.FilterData" localSheetId="2" hidden="1">'dod 3'!$A$11:$HK$108</definedName>
    <definedName name="Z_E1C403DE_F5B4_4778_BB71_C2DBA686D8F9_.wvu.FilterData" localSheetId="8" hidden="1">'dod 9'!$B$11:$GU$152</definedName>
    <definedName name="Z_E69209E9_3AD2_46BA_ADC5_0F4266D7A650_.wvu.FilterData" localSheetId="2" hidden="1">'dod 3'!$11:$23</definedName>
    <definedName name="Z_E69209E9_3AD2_46BA_ADC5_0F4266D7A650_.wvu.FilterData" localSheetId="8" hidden="1">'dod 9'!$11:$15</definedName>
    <definedName name="Z_EB9C9FFE_0593_441C_AAA2_54860C1497B2_.wvu.FilterData" localSheetId="2" hidden="1">'dod 3'!$A$11:$HK$108</definedName>
    <definedName name="Z_EB9C9FFE_0593_441C_AAA2_54860C1497B2_.wvu.FilterData" localSheetId="6" hidden="1">'dod 7.'!$A$8:$Q$69</definedName>
    <definedName name="Z_EB9C9FFE_0593_441C_AAA2_54860C1497B2_.wvu.FilterData" localSheetId="8" hidden="1">'dod 9'!$B$11:$GU$152</definedName>
    <definedName name="Z_EBD4F76E_B62E_4938_95BF_9D94C0C7E94B_.wvu.FilterData" localSheetId="6" hidden="1">'dod 7.'!$A$8:$Q$69</definedName>
    <definedName name="Z_F7C85F27_C133_4579_923F_B2800FCB2B15_.wvu.FilterData" localSheetId="6" hidden="1">'dod 7.'!$A$8:$Q$62</definedName>
    <definedName name="_xlnm.Print_Titles" localSheetId="0">'dod 1'!$8:$10</definedName>
    <definedName name="_xlnm.Print_Titles" localSheetId="2">'dod 3'!$7:$10</definedName>
    <definedName name="_xlnm.Print_Titles" localSheetId="5">'dod 6.'!$7:$7</definedName>
    <definedName name="_xlnm.Print_Titles" localSheetId="6">'dod 7.'!$7:$8</definedName>
    <definedName name="_xlnm.Print_Titles" localSheetId="8">'dod 9'!$7:$10</definedName>
    <definedName name="_xlnm.Print_Area" localSheetId="0">'dod 1'!$A$1:$F$116</definedName>
    <definedName name="_xlnm.Print_Area" localSheetId="2">'dod 3'!$A$1:$P$112</definedName>
    <definedName name="_xlnm.Print_Area" localSheetId="4">'dod 5 '!$A$1:$D$31</definedName>
    <definedName name="_xlnm.Print_Area" localSheetId="5">'dod 6.'!$A$1:$K$141</definedName>
    <definedName name="_xlnm.Print_Area" localSheetId="6">'dod 7.'!$A$1:$K$73</definedName>
    <definedName name="_xlnm.Print_Area" localSheetId="7">'dod 8'!$A$1:$G$30</definedName>
    <definedName name="_xlnm.Print_Area" localSheetId="8">'dod 9'!$A$1:$D$154</definedName>
  </definedNames>
  <calcPr fullCalcOnLoad="1"/>
</workbook>
</file>

<file path=xl/sharedStrings.xml><?xml version="1.0" encoding="utf-8"?>
<sst xmlns="http://schemas.openxmlformats.org/spreadsheetml/2006/main" count="1572" uniqueCount="786">
  <si>
    <t>Будівництво установ та закладів культури</t>
  </si>
  <si>
    <t>Будівництво споруд, установ та закладів фізичної культури і спорту</t>
  </si>
  <si>
    <t>1517325</t>
  </si>
  <si>
    <t>7325</t>
  </si>
  <si>
    <t>1217310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</si>
  <si>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</si>
  <si>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</si>
  <si>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</si>
  <si>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</si>
  <si>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7130</t>
  </si>
  <si>
    <t>Здіснення заходів із землеустрою</t>
  </si>
  <si>
    <t>3210</t>
  </si>
  <si>
    <t>3242</t>
  </si>
  <si>
    <t>Інші заходи у сфері соціального захисту і соціального забезпечення</t>
  </si>
  <si>
    <t>7691</t>
  </si>
  <si>
    <t>Заходи із запобігання та ліквідації надзвичайних ситуацій та наслідків стихійного лиха</t>
  </si>
  <si>
    <t>1014081</t>
  </si>
  <si>
    <t>1014082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</si>
  <si>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</si>
  <si>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</si>
  <si>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</si>
  <si>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</si>
  <si>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Інші  програми та заходи у сфері охорони здоров’я</t>
  </si>
  <si>
    <t>0712152</t>
  </si>
  <si>
    <t>2152</t>
  </si>
  <si>
    <t>1213210</t>
  </si>
  <si>
    <t>0813210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</si>
  <si>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</si>
  <si>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</si>
  <si>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0990</t>
  </si>
  <si>
    <t>Субвенції  з державного бюджету місцевим бюджетам</t>
  </si>
  <si>
    <t>Субвенції  з місцевих бюджетів іншим місцевим бюджетам</t>
  </si>
  <si>
    <t>5012</t>
  </si>
  <si>
    <t>1050</t>
  </si>
  <si>
    <t>Організація та проведення громадських робіт</t>
  </si>
  <si>
    <t>Разом</t>
  </si>
  <si>
    <t>оплата праці</t>
  </si>
  <si>
    <t>комунальні послуги та енергоносії</t>
  </si>
  <si>
    <t>Проведення навчально-тренувальних зборів і змагань з олімпійських видів спорту</t>
  </si>
  <si>
    <t>Заходи державної політики з питань дітей та їх соціального захисту</t>
  </si>
  <si>
    <t>1000000</t>
  </si>
  <si>
    <t xml:space="preserve">Компенсаційні виплати на пільговий проїзд автомобільним транспортом окремим категоріям громадян </t>
  </si>
  <si>
    <t>1500000</t>
  </si>
  <si>
    <t>Секретар міської ради</t>
  </si>
  <si>
    <t>1010000</t>
  </si>
  <si>
    <t>видатки споживання</t>
  </si>
  <si>
    <t>видатки розвитку</t>
  </si>
  <si>
    <t>0111</t>
  </si>
  <si>
    <t>1040</t>
  </si>
  <si>
    <t>1510000</t>
  </si>
  <si>
    <t>1070</t>
  </si>
  <si>
    <t>1060</t>
  </si>
  <si>
    <t>1010</t>
  </si>
  <si>
    <t>1090</t>
  </si>
  <si>
    <t>1020</t>
  </si>
  <si>
    <t>0133</t>
  </si>
  <si>
    <t>0824</t>
  </si>
  <si>
    <t>0828</t>
  </si>
  <si>
    <t>0960</t>
  </si>
  <si>
    <t>0829</t>
  </si>
  <si>
    <t>0620</t>
  </si>
  <si>
    <t>0490</t>
  </si>
  <si>
    <t>0731</t>
  </si>
  <si>
    <t>0763</t>
  </si>
  <si>
    <t>0180</t>
  </si>
  <si>
    <t>Реверсна дотація</t>
  </si>
  <si>
    <t>Разом видатків</t>
  </si>
  <si>
    <t>Код</t>
  </si>
  <si>
    <t>Загальний фонд</t>
  </si>
  <si>
    <t>Спеціальний фонд</t>
  </si>
  <si>
    <t>Освітня субвенція-всього:</t>
  </si>
  <si>
    <t>3112</t>
  </si>
  <si>
    <t>3140</t>
  </si>
  <si>
    <t>3160</t>
  </si>
  <si>
    <t>5011</t>
  </si>
  <si>
    <t>10</t>
  </si>
  <si>
    <t>2010</t>
  </si>
  <si>
    <t>15</t>
  </si>
  <si>
    <t>3033</t>
  </si>
  <si>
    <t>4060</t>
  </si>
  <si>
    <t>6030</t>
  </si>
  <si>
    <t>Проведення навчально-тренувальних зборів і змагань з неолімпійських видів спорту</t>
  </si>
  <si>
    <t>0470</t>
  </si>
  <si>
    <t>грн.</t>
  </si>
  <si>
    <t>Внутрішнє фінансування </t>
  </si>
  <si>
    <t xml:space="preserve">Фінансування за рахунок зміни залишків коштів бюджетів </t>
  </si>
  <si>
    <t>На початок року</t>
  </si>
  <si>
    <t>Кошти, шо передаються із загального фонду бюджету до бюджету розвитку (спеціального фонду)</t>
  </si>
  <si>
    <t>Фінансування за актиними операціями</t>
  </si>
  <si>
    <t>Зміни обсягів готівкових коштів</t>
  </si>
  <si>
    <t>Секретар міської  ради</t>
  </si>
  <si>
    <t>Загальний  фонд</t>
  </si>
  <si>
    <t>Податкові надходження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</si>
  <si>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</si>
  <si>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</si>
  <si>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</si>
  <si>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</si>
  <si>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</si>
  <si>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</si>
  <si>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</si>
  <si>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</si>
  <si>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</si>
  <si>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</si>
  <si>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</si>
  <si>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</si>
  <si>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</si>
  <si>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</si>
  <si>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</si>
  <si>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</si>
  <si>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</si>
  <si>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</si>
  <si>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</si>
  <si>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</si>
  <si>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</si>
  <si>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</si>
  <si>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</si>
  <si>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</si>
  <si>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</si>
  <si>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</si>
  <si>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</si>
  <si>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</si>
  <si>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</si>
  <si>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</si>
  <si>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</si>
  <si>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 xml:space="preserve">Надходження від викидів забруднюючих речовин в атмосферне повітря стаціонарними джерелами забруднення 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</si>
  <si>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</si>
  <si>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</si>
  <si>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</si>
  <si>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</si>
  <si>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</si>
  <si>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</si>
  <si>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</si>
  <si>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</si>
  <si>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</si>
  <si>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</si>
  <si>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</si>
  <si>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</si>
  <si>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</si>
  <si>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</si>
  <si>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</si>
  <si>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</si>
  <si>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</si>
  <si>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</si>
  <si>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</si>
  <si>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</si>
  <si>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</si>
  <si>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</si>
  <si>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</si>
  <si>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</si>
  <si>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</si>
  <si>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</si>
  <si>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</si>
  <si>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</si>
  <si>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</si>
  <si>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 xml:space="preserve">Плата за оренду майна бюджетних установ  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</si>
  <si>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</si>
  <si>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</si>
  <si>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</si>
  <si>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</si>
  <si>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</si>
  <si>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</si>
  <si>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</si>
  <si>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</si>
  <si>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</si>
  <si>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Разом доходів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</si>
  <si>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</si>
  <si>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</si>
  <si>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</si>
  <si>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5031</t>
  </si>
  <si>
    <t>Утримання та навчально-тренувальна робота комунальних дитячо-юнацьких спортивних  шкіл</t>
  </si>
  <si>
    <t>Заходи з енергозбереження</t>
  </si>
  <si>
    <t>О320</t>
  </si>
  <si>
    <t>08</t>
  </si>
  <si>
    <t>0800000</t>
  </si>
  <si>
    <t>0810000</t>
  </si>
  <si>
    <t>0813033</t>
  </si>
  <si>
    <t>0160</t>
  </si>
  <si>
    <t>0810160</t>
  </si>
  <si>
    <t>0813160</t>
  </si>
  <si>
    <t>1510160</t>
  </si>
  <si>
    <t>3700000</t>
  </si>
  <si>
    <t>37</t>
  </si>
  <si>
    <t>3710000</t>
  </si>
  <si>
    <t>3710160</t>
  </si>
  <si>
    <t>9110</t>
  </si>
  <si>
    <t>Інша діяльність у сфері державного управління</t>
  </si>
  <si>
    <t xml:space="preserve"> 1090</t>
  </si>
  <si>
    <t>8110</t>
  </si>
  <si>
    <t>0320</t>
  </si>
  <si>
    <t>1014030</t>
  </si>
  <si>
    <t>4030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</si>
  <si>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</si>
  <si>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</si>
  <si>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</si>
  <si>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</si>
  <si>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</si>
  <si>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Забезпечення діяльності палаців і будинків культури, клубів, центрів дозвілля  та інших клубних закладів</t>
  </si>
  <si>
    <t>1014010</t>
  </si>
  <si>
    <t>4010</t>
  </si>
  <si>
    <t>0821</t>
  </si>
  <si>
    <t>Фінансова підтримка театрів</t>
  </si>
  <si>
    <t>0600000</t>
  </si>
  <si>
    <t>06</t>
  </si>
  <si>
    <t>0610000</t>
  </si>
  <si>
    <t xml:space="preserve">0611010 </t>
  </si>
  <si>
    <t>2111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</si>
  <si>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</si>
  <si>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</si>
  <si>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</si>
  <si>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</si>
  <si>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</si>
  <si>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0615012</t>
  </si>
  <si>
    <t>12</t>
  </si>
  <si>
    <t>1200000</t>
  </si>
  <si>
    <t>1210000</t>
  </si>
  <si>
    <t>1210160</t>
  </si>
  <si>
    <t>7640</t>
  </si>
  <si>
    <t>31</t>
  </si>
  <si>
    <t>3100000</t>
  </si>
  <si>
    <t>3110000</t>
  </si>
  <si>
    <t>7350</t>
  </si>
  <si>
    <t>0443</t>
  </si>
  <si>
    <t>1216030</t>
  </si>
  <si>
    <t>Організація благоустрою населених пунктів</t>
  </si>
  <si>
    <t>1217693</t>
  </si>
  <si>
    <t>7693</t>
  </si>
  <si>
    <t>Інші заходи, пов'язані з економічною діяльністю</t>
  </si>
  <si>
    <t>8340</t>
  </si>
  <si>
    <t>1218340</t>
  </si>
  <si>
    <t>0540</t>
  </si>
  <si>
    <t>Природоохоронні заходи за рахунок цільових фондів</t>
  </si>
  <si>
    <t>1216013</t>
  </si>
  <si>
    <t>6013</t>
  </si>
  <si>
    <t>Забезпечення діяльності водопровідно-каналізаційного господарства</t>
  </si>
  <si>
    <t>0613140</t>
  </si>
  <si>
    <t>0615031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</si>
  <si>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</si>
  <si>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</si>
  <si>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</si>
  <si>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1216090</t>
  </si>
  <si>
    <t>6090</t>
  </si>
  <si>
    <t>Інша діяльність у сфері житлово-комунального господарства</t>
  </si>
  <si>
    <t>0640</t>
  </si>
  <si>
    <t>1217640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</si>
  <si>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</si>
  <si>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</si>
  <si>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</si>
  <si>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7310</t>
  </si>
  <si>
    <t>1517321</t>
  </si>
  <si>
    <t>1517322</t>
  </si>
  <si>
    <t>7324</t>
  </si>
  <si>
    <t>1517324</t>
  </si>
  <si>
    <t>7330</t>
  </si>
  <si>
    <t>1517330</t>
  </si>
  <si>
    <t>Будівництво освітніх установ та закладів</t>
  </si>
  <si>
    <t>7650</t>
  </si>
  <si>
    <t>Проведення експертної грошової оцінки земельної ділянки чи права на неї</t>
  </si>
  <si>
    <t>Проведення експертної  грошової  оцінки  земельної ділянки чи права на неї</t>
  </si>
  <si>
    <t>3719110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</si>
  <si>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</si>
  <si>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</si>
  <si>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</si>
  <si>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</si>
  <si>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бюджетних установ від реалізації в установленому порядку майна (крім нерухомого майна) </t>
  </si>
  <si>
    <t>7321</t>
  </si>
  <si>
    <t>7322</t>
  </si>
  <si>
    <t>Будівництво медичних  установ та закладів</t>
  </si>
  <si>
    <t>Усього</t>
  </si>
  <si>
    <t>усього</t>
  </si>
  <si>
    <t xml:space="preserve">Усього 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</si>
  <si>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</si>
  <si>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</si>
  <si>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 тому числі бюджет розвитку</t>
  </si>
  <si>
    <t xml:space="preserve"> Усього видатків на поточний рік</t>
  </si>
  <si>
    <t>Виконання заходів за рахунок цільових  фондів,  утворених Верховною радою Автономної Республіки Крим, органами місцевого самоврядування і місцевими органами виконавчої влади 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</si>
  <si>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</si>
  <si>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</si>
  <si>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</si>
  <si>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</si>
  <si>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0726</t>
  </si>
  <si>
    <t>Будівництво об'єктів житлово-комунального господарства</t>
  </si>
  <si>
    <t>0421</t>
  </si>
  <si>
    <t>0921</t>
  </si>
  <si>
    <t>0910</t>
  </si>
  <si>
    <t>Інші програми та заходи у сфері освіти</t>
  </si>
  <si>
    <t>0810</t>
  </si>
  <si>
    <t>Найменування згідно з Класифікацією доходів бюджету</t>
  </si>
  <si>
    <t>Плата за розміщення тимчасово вільних коштів місцевих бюджетів </t>
  </si>
  <si>
    <t>Плата за встановлення земельного сервітуту</t>
  </si>
  <si>
    <t>Усього доходів (без врахування міжбюджетних трансфертів)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</si>
  <si>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</si>
  <si>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</si>
  <si>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Виконавчий комітет Мукачівської міської ради (головний розпорядник)</t>
  </si>
  <si>
    <t>Виконавчий комітет Мукачівської міської ради  (відповідальний виконавець)</t>
  </si>
  <si>
    <t>0200000</t>
  </si>
  <si>
    <t>02</t>
  </si>
  <si>
    <t>0210160</t>
  </si>
  <si>
    <t>0210000</t>
  </si>
  <si>
    <t>0210180</t>
  </si>
  <si>
    <t>0213112</t>
  </si>
  <si>
    <t>0213210</t>
  </si>
  <si>
    <t>0213242</t>
  </si>
  <si>
    <t>0217693</t>
  </si>
  <si>
    <t>0218110</t>
  </si>
  <si>
    <t>0217691</t>
  </si>
  <si>
    <t>1217330</t>
  </si>
  <si>
    <t>РОЗПОДІЛ</t>
  </si>
  <si>
    <t>Багатопрофільна  стаціонарна  медична допомога населенню, всього, з них:</t>
  </si>
  <si>
    <t>Централізовані заходи з лікування хворих на цукровий та нецукровий діабет, всього, з них:</t>
  </si>
  <si>
    <t>(пункт 1)</t>
  </si>
  <si>
    <t>(код бюджету)</t>
  </si>
  <si>
    <t>(пункт 2)</t>
  </si>
  <si>
    <t>Найменування об'єкта будівництва / вид будівельних робіт, у тому числі проектні роботи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</si>
  <si>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</si>
  <si>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Код
Функціональної
класифікації
видатків та
кредитування
бюджету
</t>
  </si>
  <si>
    <t>Код Типової
програмної
класифікації
видатків та
кредитування
місцевого
бюджету</t>
  </si>
  <si>
    <t>Код Програмної класифікації видатків та кредитування місцевого бюджету</t>
  </si>
  <si>
    <t>Загальна тривалість будівництва (рік початку і завершення)</t>
  </si>
  <si>
    <t>Загальна
вартість
будівництва,
гривень</t>
  </si>
  <si>
    <t>Рівень
виконання
робіт на
початок
бюджетного
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</si>
  <si>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</si>
  <si>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</si>
  <si>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(пункт 4)</t>
  </si>
  <si>
    <t>(пункт 5)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</si>
  <si>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</si>
  <si>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</si>
  <si>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</si>
  <si>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Повернення кредитів</t>
  </si>
  <si>
    <t>Кредитування-всього</t>
  </si>
  <si>
    <t>у тому
числі
бюджет
розвитку</t>
  </si>
  <si>
    <t>Повернення довгострокових кредитів, наданих індивідуальним забудовникам житла на селі</t>
  </si>
  <si>
    <t>Надання довгострокових кредитів індивідуальним забудовникам житла на селі</t>
  </si>
  <si>
    <t xml:space="preserve">Всього </t>
  </si>
  <si>
    <r>
      <t>Фінансове управління Мукачівської міської ради (</t>
    </r>
    <r>
      <rPr>
        <sz val="12"/>
        <rFont val="Times New Roman"/>
        <family val="1"/>
      </rPr>
      <t>головний розпорядник)</t>
    </r>
  </si>
  <si>
    <r>
      <t xml:space="preserve">Фінансове управління Мукачівської міської ради </t>
    </r>
    <r>
      <rPr>
        <sz val="12"/>
        <rFont val="Times New Roman"/>
        <family val="1"/>
      </rPr>
      <t>(відповідальний виконавець)</t>
    </r>
  </si>
  <si>
    <r>
      <t xml:space="preserve">Управління міського господарства Мукачівської міської ради  </t>
    </r>
    <r>
      <rPr>
        <sz val="12"/>
        <rFont val="Times New Roman"/>
        <family val="1"/>
      </rPr>
      <t>(головний розпорядник)</t>
    </r>
  </si>
  <si>
    <r>
      <t xml:space="preserve">Управління міського господарства Мукачівської міської ради </t>
    </r>
    <r>
      <rPr>
        <sz val="12"/>
        <rFont val="Times New Roman"/>
        <family val="1"/>
      </rPr>
      <t>(відповідальний виконавець)</t>
    </r>
  </si>
  <si>
    <t>Управління освіти, молоді та спорту  Мукачівської міської ради  (головний розпорядник)</t>
  </si>
  <si>
    <t>Управління освіти, молоді та спорту  Мукачівської міської ради  (відповідальний виконавець)</t>
  </si>
  <si>
    <t>Управління праці та соціального захисту населення  Мукачівської міської ради  (головний розпорядник)</t>
  </si>
  <si>
    <t>Управління праці та соціального захисту населення Мукачівської міської ради (відповідальний виконавець)</t>
  </si>
  <si>
    <t>Відділ культури Мукачівської міської ради  (головний розпорядник)</t>
  </si>
  <si>
    <t>Відділ культури  Мукачівської міської ради (відповідальний виконавець)</t>
  </si>
  <si>
    <t>Управління міського господарства  Мукачівської міської ради  (головний розпорядник)</t>
  </si>
  <si>
    <t>Управління міського господарства Мукачівської міської ради  (відповідальний виконавець)</t>
  </si>
  <si>
    <t>Управління комунальної власності та архітектури   Мукачівської міської ради  (головний розпорядник)</t>
  </si>
  <si>
    <t>Управління комунальної власності та архітектури  Мукачівської міської ради (відповідальний виконавець)</t>
  </si>
  <si>
    <t>Фінансове управління   Мукачівської міської ради  (головний розпорядник)</t>
  </si>
  <si>
    <t>Фінансове управління   Мукачівської міської ради (відповідальний виконавець)</t>
  </si>
  <si>
    <t>Управління міського господарства   Мукачівської міської ради (головний розпорядник)</t>
  </si>
  <si>
    <t>Управління міського господарства    Мукачівської міської ради  (відповідальний виконавець)</t>
  </si>
  <si>
    <t>Управління освіти молоді та спорту  Мукачівської міської ради  (головний розпорядник)</t>
  </si>
  <si>
    <t>Управління освіти молоді та спорту Мукачівської міської ради  (відповідальний виконавець)</t>
  </si>
  <si>
    <t>Управління праці та соціального захисту населення  Мукачівської міської ради (відповідальний виконавець)</t>
  </si>
  <si>
    <t>Відділ культури  Мукачівської міської ради  (головний розпорядник)</t>
  </si>
  <si>
    <t>(пункт 6)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</si>
  <si>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</si>
  <si>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</si>
  <si>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Код Функціональ-
ної
класифікації видатків
та кредитування
бюджету</t>
  </si>
  <si>
    <t>з них</t>
  </si>
  <si>
    <t>Найменування згідно з
Класифікацією фінансування
бюджету</t>
  </si>
  <si>
    <t>у тому числі
бюджет
розвитку</t>
  </si>
  <si>
    <t>Обласний бюджет</t>
  </si>
  <si>
    <t xml:space="preserve">  (пункт 3)</t>
  </si>
  <si>
    <t xml:space="preserve">ДОХОДИ </t>
  </si>
  <si>
    <t>07507000000</t>
  </si>
  <si>
    <t>(грн)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</si>
  <si>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</si>
  <si>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</si>
  <si>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</si>
  <si>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</si>
  <si>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</si>
  <si>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</si>
  <si>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 xml:space="preserve"> -придбання комп'ютерної техніки та комплектуючих до неї</t>
  </si>
  <si>
    <t>0610160</t>
  </si>
  <si>
    <t>здійснення переданих видатків у сфері освіти за рахунок коштів освітньої субвенції (oплата праці з нарахуваннями педагогічних працівників загальноосвітніх навчальних закладів приватної форми власності )</t>
  </si>
  <si>
    <t>Забезпечення діяльності інших закладів у сфері освіти</t>
  </si>
  <si>
    <t>5062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</si>
  <si>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</si>
  <si>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</si>
  <si>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3032</t>
  </si>
  <si>
    <t>0813032</t>
  </si>
  <si>
    <t>Надання пільг окремим категоріям громадян з оплати послуг зв'язку</t>
  </si>
  <si>
    <t>1218831</t>
  </si>
  <si>
    <t>1010160</t>
  </si>
  <si>
    <t>0511</t>
  </si>
  <si>
    <t>Охорона та раціональне використання природних ресурсів</t>
  </si>
  <si>
    <t>Програма захисту прав дітей на 2020-2022 роки</t>
  </si>
  <si>
    <t>Програма виплати винагороди Почесним громадянам міста Мукачева на 2020-2022 роки</t>
  </si>
  <si>
    <t xml:space="preserve">Програма організації громадських оплачувальних робіт для молоді у вільний від навчання час на 2020-2022 роки </t>
  </si>
  <si>
    <t>Реконструкція об'єктів житлово-комунального господарства</t>
  </si>
  <si>
    <t>Програма підтримки ММКП «Міжнародний аеропорт Мукачево» на 2020-2022 роки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</si>
  <si>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на 2020-2022 роки</t>
  </si>
  <si>
    <t>Управління міського господарства  Мукачівської міської ради  (відповідальний виконавець)</t>
  </si>
  <si>
    <t>Програма висвітлення діяльності та розробки програмного забезпечення Мукачівської міської ради на 2020-2022 роки</t>
  </si>
  <si>
    <t>0813104</t>
  </si>
  <si>
    <t>3104</t>
  </si>
  <si>
    <t>Забезпечення соціальними  послугами  за  місцем проживання громадян,  які не здатні  до  самообслуговування у зв’язку з похилим віком, хворобою, інвалідністю</t>
  </si>
  <si>
    <t>0212144</t>
  </si>
  <si>
    <t>0212152</t>
  </si>
  <si>
    <t>0212010</t>
  </si>
  <si>
    <t>0212111</t>
  </si>
  <si>
    <t>Міжбюджетні трансферти на 2021 рік</t>
  </si>
  <si>
    <t>Будівництво  інших об'єктів  комунальної власності</t>
  </si>
  <si>
    <t>Надання спеціальної освіти мистецькими школами</t>
  </si>
  <si>
    <t xml:space="preserve">Інші заходи в галузі культури і мистецтва </t>
  </si>
  <si>
    <t>Програма забезпечення організаційної діяльності міської ради та виконавчого комітету  на 2021-2023 роки.</t>
  </si>
  <si>
    <t>Рішення сесії ММР  № 1655 від 05.12.2019 р. (із змінами)</t>
  </si>
  <si>
    <t>Програма розвитку туристичної галузі Мукачівської міської територіальної громади на 2021 рік</t>
  </si>
  <si>
    <t>Програма удосконалення цивільного захисту та оборонної роботи  Мукачівської міської територіальної громади на 2021-2023 роки</t>
  </si>
  <si>
    <t xml:space="preserve">Програма розвитку культури і мистецтв Мукачівської міської  територіальної громади на 2021 -2023  роки </t>
  </si>
  <si>
    <t>1217130</t>
  </si>
  <si>
    <t>Здійснення заходів із землеустрю</t>
  </si>
  <si>
    <t xml:space="preserve">Будівництво Ново Давидківсього дошкільного закладу Мукачівської міської ради по вул. Івана Франка б/н в с. Нове Давидково, Мукачівського району, Закарпатської області
</t>
  </si>
  <si>
    <t>2020-2021</t>
  </si>
  <si>
    <t>Капітальний ремонт будівлі ДЮСШ по вул. Духновича Олександра, 93 в м. Мукачево</t>
  </si>
  <si>
    <t>Реконструкція ДЮСШ по вул. Духновича, 93 в м. Мукачево</t>
  </si>
  <si>
    <t>Реконструкція спортивних полів, бігових доріжок та трибун ДЮСШ по вул. Духновича, 93 в м. Мукачево</t>
  </si>
  <si>
    <t>2019-2021</t>
  </si>
  <si>
    <t>Я. Чубирко</t>
  </si>
  <si>
    <t>Будівництво спортивного залу та благоустрій території ЗОШ І-ІІІ ст. № 1 по вул. Пушкіна Олександра, 23 в м. Мукачево</t>
  </si>
  <si>
    <t>Капітальний ремонт благоустрою території ДНЗ № 15 по вул. 26 Жовтня, 12 в м. Мукачево</t>
  </si>
  <si>
    <t>Капітальний ремонт благоустрою території ЗОШ № 13 по вул. Росивгівська в м. Мукачево</t>
  </si>
  <si>
    <t>Капітальний ремонт благоустрою території Мукачівського ліцею № 10 по вул. Драгоманова Михайла, 66 в м. Мукачево</t>
  </si>
  <si>
    <t>Капітальний ремонт благоустрою території Мукачівської гімназії № 9  по вул. Космонавтів, 31  в м. Мукачево</t>
  </si>
  <si>
    <t>Капітальний ремонт благоустрою території Мукачівської гімназії, Мукачівський НВК "ДНЗ-ЗОШ 1 ст - гімназія"  по вул. Королеви Єлизавети, 22  в м. Мукачево</t>
  </si>
  <si>
    <t>Капітальний ремонт благоустрою території СШ І-ІІІ ст. № 16 по вул. Шевченка, 68 в м. Мукачево</t>
  </si>
  <si>
    <t>Реконструкція спортивих майданчиків та благоустрій території ЗОШ № 2 по вул. Павлова Івана академіка, 14 в м. Мукачево</t>
  </si>
  <si>
    <t>Будівництво модульних приміщень сімейного лікаря по вул.  Франка Івана, 152 в м. Мукачево</t>
  </si>
  <si>
    <t>Будівництво модульних приміщень сімейного лікаря по вул.  Франка Івана, 65 Р в м. Мукачево</t>
  </si>
  <si>
    <t>Будівництво модульних приміщень сімейного лікаря по вул. Нижнянська, 3 в с. Лавки Мукачівської територіальної грамади</t>
  </si>
  <si>
    <t>Будівництво модульних приміщень сімейного лікаря по вул.Головна, 66 в с. Шенборн Мукачівської територіальної грамади</t>
  </si>
  <si>
    <t xml:space="preserve">Реконструкція 1-го поверху хірургічного відділення під відділення екстренної (невідкладної) медичної  допомоги КНП Мукачівська ЦРЛ по вул. Пирогова Миколи, 8-13 в м. Мукачево </t>
  </si>
  <si>
    <t xml:space="preserve">Капітальний ремонт приміщень під молодіжний центр "Студіо" по пл. Кирила і Мефодія, 30  в м. Мукачево     </t>
  </si>
  <si>
    <t xml:space="preserve">Капітальний ремонт приміщень під дитячий театральний центр пл. Кирила і Мефодія, 30  в м. Мукачево   </t>
  </si>
  <si>
    <t>Реконструкція (реставрація) Дитячої художньої школи ім. М.Мункачі під Білий Палац  з влаштуванням камінної зали, музейних приміщень та картинної галереї по пл. Кирила і Мефодія, 16 в м. Мукачево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</si>
  <si>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</si>
  <si>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 xml:space="preserve">Реконструкція існуючих приміщень адмінбудівлі під ЦНАП по площі Духновича, 2 в м. Мукачево. Коригування </t>
  </si>
  <si>
    <t>Зміцнення та оновлення матеріально-технічної бази підприємств, установ і організацій, що фінансуються з міського бюджету:</t>
  </si>
  <si>
    <t>0817691</t>
  </si>
  <si>
    <t>3718600</t>
  </si>
  <si>
    <t>8600</t>
  </si>
  <si>
    <t>0170</t>
  </si>
  <si>
    <t xml:space="preserve"> Обслуговування місцевого боргу</t>
  </si>
  <si>
    <t>дотація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</si>
  <si>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 на здійснення підтримки окремих закладів та заходів у системі охорони здоров’я за рахунок відповідної субвенції з державного бюджету 
(на лікування хворих на цукровий діабет інсуліном та нецукровий діабет десмопресином)</t>
  </si>
  <si>
    <t>Програма управління місцевим боргом на 2020-2022 роки</t>
  </si>
  <si>
    <t>Фінансуванням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</si>
  <si>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</si>
  <si>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</si>
  <si>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</si>
  <si>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 xml:space="preserve">Фінансування за борговими операціями </t>
  </si>
  <si>
    <t>Запозичення</t>
  </si>
  <si>
    <t xml:space="preserve">Внутрішні запозичення </t>
  </si>
  <si>
    <t xml:space="preserve">Середньострокові зобов'язання </t>
  </si>
  <si>
    <t xml:space="preserve"> бюджету Мукачівської міської територіальної громади на  2021 рік 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</si>
  <si>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</si>
  <si>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</si>
  <si>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</si>
  <si>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Внутрішні зобов’язання</t>
  </si>
  <si>
    <t>Погашення</t>
  </si>
  <si>
    <t xml:space="preserve">Програма оздоровлення та відпочинку дітей Мукачівської міської територіальної громади на 2020-2022 роки
</t>
  </si>
  <si>
    <t>Програма організації безкоштовного харчування дітей пільгових категорій у закладах освіти Мукачівської міської територіальної громади на 2020-2022 роки</t>
  </si>
  <si>
    <t xml:space="preserve">Програма розвитку освіти Мукачівської міської територіальної громади на 2021-2023 роки </t>
  </si>
  <si>
    <t>Програма подарунки для дітей закладів освіти Мукачівської міської територіальної громади на 2020-2022 роки</t>
  </si>
  <si>
    <t>Програма впровадження молодіжної політики Мукачівської міської територіальної громади на 2020-2022 роки</t>
  </si>
  <si>
    <t>Програма розвитку фізичної культури і спорту Мукачівської міської територіальної громади на 2020-2022 роки</t>
  </si>
  <si>
    <t>Програма  додаткового соціально-медичного захисту жителів Мукачівської міської територіальної громади на 2020-2022 роки.</t>
  </si>
  <si>
    <t>Програма зайнятості населення Мукачівської міської територіальної громади на 2020 -2022 роки</t>
  </si>
  <si>
    <t>Капітальний ремонт  внутріквартальних проїздів по вул. Фурманова, 6 у м. Мукачево</t>
  </si>
  <si>
    <t>Капітальний ремонт внутріквартальних проїздів по вул.Свято-Михайлівська, 5;46 та вул.Руська, 17;42 у м.Мукачево</t>
  </si>
  <si>
    <t>Капітальний ремонт скверу по вул. Духновича у м. Мукачево</t>
  </si>
  <si>
    <t>2018-2021</t>
  </si>
  <si>
    <t>Капітальний ремонт  внутріквартальних проїздів по вул. Мічуріна, 1, 1А у м. Мукачево</t>
  </si>
  <si>
    <t>в т.ч. проектно-кошторисна документація</t>
  </si>
  <si>
    <t>Будівництво пішохідного мосту через річку Латориця (в районі Черемшина-Росвигово)</t>
  </si>
  <si>
    <t>Будівництво системи водопостачання та каналізації по вул. Підгородська, Поневача Юлія, Павлюка Олександра, Загоскіна у м.Мукачево</t>
  </si>
  <si>
    <t>Будівництво каналізаційно насосної станції на розі вулиць Підгородська-Дем’яна Бідного у м.Мукачево</t>
  </si>
  <si>
    <t>Реконструкція внутріквартальних проїздів по вул. Підгорянська, 4-4а, Морозова Миколи академіка,3 та Верді Джузеппе, 3-3а-5 у м.Мукачево</t>
  </si>
  <si>
    <t>Будівництво центру стерилізації та адопції (прилаштування) тварин по вул.Берегівська-об’їзна у м.Мукачево</t>
  </si>
  <si>
    <t>Реконструкція привокзальної площі  у м. Мукачево</t>
  </si>
  <si>
    <t>Будівництво скверу на перехресті вул. Морозова Миколи академіка - вул. Підгорянська у м.Мукачево</t>
  </si>
  <si>
    <t>Будівництво скверу №2 по площі Паланок  у м. Мукачево</t>
  </si>
  <si>
    <t>Будівництво скверу по вул. Береша Андрія,2 – Росвигівська,7а у м.Мукачево</t>
  </si>
  <si>
    <t>Будівництво скверу по вул. Латорична у м. Мукачево</t>
  </si>
  <si>
    <t>Будівництво скверу по вул.Росвигівська, 36-38 у м.Мукачево</t>
  </si>
  <si>
    <t>Будівництво спортивного та дитячого майданчиків по вул. Толстого Льва,35а у м.Мукачево</t>
  </si>
  <si>
    <t>Будівництво спортивного майданчика по вул. Толстого Льва, 35а у м.Мукачево</t>
  </si>
  <si>
    <t>Будівництво спортивного майданчика по вул. Берегівська,28 у м.Мукачево</t>
  </si>
  <si>
    <t>Будівництво спортивного майданчику по вул.Данила Апостола,7-7а-9 у м.Мукачево</t>
  </si>
  <si>
    <t>Будівництво спортивного майданчика по вул. Закарпатська,6-8; Сороча,106 у м.Мукачево</t>
  </si>
  <si>
    <t>Будівництво спортивного майданчику в парку «Центральний» у м.Мукачево</t>
  </si>
  <si>
    <t>2021</t>
  </si>
  <si>
    <t>Будівництво дитячого майданчика по вул. Руська,50 у м.Мукачево</t>
  </si>
  <si>
    <t>Будівництво спортивного та дитячого майданчиків по вул. Лавківська у м.Мукачево</t>
  </si>
  <si>
    <t>Будівництво скверу в с.Нове Давидково Мукачівської МТГ</t>
  </si>
  <si>
    <t>Реконструкція спортивного майданчика по вул. Верді Джузеппе,6 у м.Мукачево</t>
  </si>
  <si>
    <t>Капітальний ремонт вул.Р.Корсакова у м.Мукачево</t>
  </si>
  <si>
    <t>Капітальний ремонт вул.Мусорського у м.Мукачево</t>
  </si>
  <si>
    <t>Капітальний ремонт вул. Івана Чендея у м. Мукачево</t>
  </si>
  <si>
    <t>Реконструкція вул.Гвардійська у м.Мукачево</t>
  </si>
  <si>
    <t xml:space="preserve">в т.ч. за рахунок коштів місцевого запозичення </t>
  </si>
  <si>
    <t>Капітальний ремонт внутріквартального проїзду по вул. І.Зріні, 174, 176 у м. Мукачево</t>
  </si>
  <si>
    <t>Капітальний ремонт внутріквартального проїзду по вул. Окружна,32 у м.Мукачево</t>
  </si>
  <si>
    <t>Капітальний ремонт внутріквартальних проїздів по вул. Великогірна, 10-11, 16 у м. Мукачево</t>
  </si>
  <si>
    <t>Капітальний ремонт  внутріквартальних проїздів по вул. Франка Івана, 144, 148 у м. Мукачево</t>
  </si>
  <si>
    <t>Капітальний ремонт тротуарів по вул. Берегівська-об'їздна у м.Мукачево</t>
  </si>
  <si>
    <t>Влаштування скверу по вул. Першотравнева Набережна у м. Мукачево</t>
  </si>
  <si>
    <t>Реконструкція парку імені Андрія Кузьменка в м. Мукачево</t>
  </si>
  <si>
    <t>1. Показники міжбюджетних трансфертів з інших бюджетів</t>
  </si>
  <si>
    <t>(грн.)</t>
  </si>
  <si>
    <t>Код Класифікації доходу бюджету/Код бюджету</t>
  </si>
  <si>
    <t>Найменування трансферту/Найменування бюджету -надавача міжбюджетного трансферту</t>
  </si>
  <si>
    <t>І. Трансфети до загального фонду бюджету</t>
  </si>
  <si>
    <t>ІІ. Трансфети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</si>
  <si>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</si>
  <si>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</si>
  <si>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</si>
  <si>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</si>
  <si>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Рішення  сесії ММР  № 1673 від 05.12.2019р.(із змінами)</t>
  </si>
  <si>
    <t>0813035</t>
  </si>
  <si>
    <t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2021-2023 роки</t>
  </si>
  <si>
    <t>3035</t>
  </si>
  <si>
    <t>Компенсаційні виплати за  пільговий проїзд  окремих категорій громадян на залізничному транспорті</t>
  </si>
  <si>
    <t>Рішення  сесії ММР  №     від 22.12.2020р.</t>
  </si>
  <si>
    <t>Програма розвитку та підтримки комунальних закладів охорони здоров’я Мукачівської міської територіальної громади на 2021 рік</t>
  </si>
  <si>
    <t>Програма зайнятості населення Мукачівської міської  територіальної громади на 2020 -2022 роки</t>
  </si>
  <si>
    <t>Програма зайнятості населення Мукачівської міської  територіальної громади на 2020 -2022 роки.</t>
  </si>
  <si>
    <t>Програма реформування та підтримки каналізаційного господарства на території Мукачівської міської територіальної громади  на 2020 - 2022 роки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</si>
  <si>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2020-2022 роки</t>
  </si>
  <si>
    <t xml:space="preserve">Програма благоустрою території Мукачівської міської  територіальної громади на 2020-2022 роки   </t>
  </si>
  <si>
    <t>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2020-2022 роки</t>
  </si>
  <si>
    <t>Програма покращення екологічного стану на території Мукачівської міської територіальної громади на 2020-2022 роки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</si>
  <si>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2020-2022 роки</t>
  </si>
  <si>
    <r>
      <t xml:space="preserve">Додаток 1
до   рішення   3 - ї позачергової сесії Мукачівської міської ради 8-го скликання                              
"Про бюджет Мукачівської міської територіальної громади на 2021 рік"                                                                                                                                         </t>
    </r>
    <r>
      <rPr>
        <u val="single"/>
        <sz val="11"/>
        <rFont val="Times New Roman"/>
        <family val="1"/>
      </rPr>
      <t xml:space="preserve">від 22 грудня 2020 року № </t>
    </r>
  </si>
  <si>
    <r>
      <t xml:space="preserve">Додаток 2
до   рішення  3 -ї  позачергової сесії Мукачівської міської ради 8-го скликання                              
"Про бюджет Мукачівської міської 
територіальної громади на 2021 рік"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 xml:space="preserve">від  22 грудня 2020 року № </t>
    </r>
  </si>
  <si>
    <t xml:space="preserve"> видатків  бюджету Мукачівської міської територіальної громади  на 2021 рік</t>
  </si>
  <si>
    <t>Кредитування бюджету Мукачівської міської територіальної громади 2021 році</t>
  </si>
  <si>
    <t>Додаток 4
до рішення  3-ї позачергової сесії Мукачівської міської ради 8-го скликання "Про бюджет Мукачівської міської територіальної громади на 2021 рік" від 22 грудня  2020 року №                                                            (пункт 2)</t>
  </si>
  <si>
    <t xml:space="preserve">Додаток 5
до рішення 3 -ї позачергової сесії Мукачівської міської ради 8-го скликання                              
"Про бюджет Мукачівської міської територіальної громади на 2021 рік"  від  22 грудня 2020 року № </t>
  </si>
  <si>
    <t>Додаток 6
до рішення 3-ї позачергової сесії Мукачівської міської ради 8-го скликання "Про бюджет Мукачівської міської територіальної громади на 2021 рік"                                                                                                                               від  22 грудня 2020  року №</t>
  </si>
  <si>
    <t xml:space="preserve">Додаток 8
до рішення 3-ї позачергової сесії Мукачівської міської ради 8-го скликання                      "Про бюджет Мукачівської міської територіальної громади на 2021 рік"                                                                                                                                           від 22 грудня  2020  року № </t>
  </si>
  <si>
    <t xml:space="preserve">Додаток 7
до рішення 3-ї позачергової сесії Мукачівської міської ради 8-го скликання                              
"Про бюджет Мукачівської міської  територіальної громади на 2021 рік"                                                                                                                                 від 22 грудень  2020 року № </t>
  </si>
  <si>
    <t>Розподіл витрат бюджету Мукачівської міської територіальної громади на реалізацію місцевих /регіональних  програм  у 2021 році</t>
  </si>
  <si>
    <t>Рішення сесії ММР  № 1654  від 05.12.2019 р. (із змінами)</t>
  </si>
  <si>
    <t>Рішення сесії ММР  № 1678 від 05.12.2019 р.(із змінами)</t>
  </si>
  <si>
    <r>
      <t xml:space="preserve">Рішення сесії ММР  № 1652  від 05.12.2019 р. </t>
    </r>
    <r>
      <rPr>
        <sz val="9"/>
        <rFont val="Times New Roman"/>
        <family val="1"/>
      </rPr>
      <t>(із змінами)</t>
    </r>
  </si>
  <si>
    <r>
      <t>Рішення  сесії  ММР № 1662 від 05.12.2019р.</t>
    </r>
    <r>
      <rPr>
        <sz val="9"/>
        <rFont val="Times New Roman"/>
        <family val="1"/>
      </rPr>
      <t>(із змінами)</t>
    </r>
  </si>
  <si>
    <t>Будівництво інших об'єктів комунальної власності</t>
  </si>
  <si>
    <t>1516030</t>
  </si>
  <si>
    <t>Управління будівництва та інфраструктури Мукачівської міської ради  (головний розпорядник)</t>
  </si>
  <si>
    <t>Управління будівництва та інфраструктури Мукачівської міської ради  (відповідальний виконавець)</t>
  </si>
  <si>
    <t>1218311</t>
  </si>
  <si>
    <t>в тому числі:</t>
  </si>
  <si>
    <t>проектно-кошторисна документація</t>
  </si>
  <si>
    <t xml:space="preserve"> за рахунок коштів місцевого запозичення </t>
  </si>
  <si>
    <t>1217650</t>
  </si>
  <si>
    <t>1217691</t>
  </si>
  <si>
    <t>1217350</t>
  </si>
  <si>
    <t>1210180</t>
  </si>
  <si>
    <t>Фінансування бюджету Мукачівської міської територіальної громади на 2021 рік</t>
  </si>
  <si>
    <t>Розподіл коштів бюджету розвитку на здійснення заходів із будівництва, реконструкції,  реставрації та капітального ремонту об'єктів виробничої,
комунікаційної та соціальної інфраструктури за об'єктами бюджету Мукачівської міської територіальної громади у 2021 році</t>
  </si>
  <si>
    <t>Розподіл коштів цільового фонду, утвореного органами місцевого самоврядування за напрямками використання бюджету Мукачівської міської територіальної громади  у 2021 році</t>
  </si>
  <si>
    <t>Будівництво дитячого та  спортивного майданчиків по вул. Свято -Михайлівська,35 у м.Мукачево</t>
  </si>
  <si>
    <t>Реконструкція зупинки громадського транспорту по вул.Ярослава Мудрого, 35 у м.Мукачево</t>
  </si>
  <si>
    <t>3110160</t>
  </si>
  <si>
    <t>Обслуговування місцевого боргу</t>
  </si>
  <si>
    <t>Будівництво зовнішніх мереж електропостачання для каналізаційної насосної станції на розі вулиць Сагайдачного Петра - Грибоєдова Олександра у м.Мукачево</t>
  </si>
  <si>
    <t>1517310</t>
  </si>
  <si>
    <t>3718710</t>
  </si>
  <si>
    <t>Резервний фонд місцевого бюджету</t>
  </si>
  <si>
    <t>Капітальний ремонт водопровідних та каналізаційних мереж по вул. Гулака Артемовського</t>
  </si>
  <si>
    <t>Будівництво об'єктів  житлово-комунального господарства</t>
  </si>
  <si>
    <t>0444</t>
  </si>
  <si>
    <t>Будівництво інших об'єктів  комунальної власності</t>
  </si>
  <si>
    <t>Будівництво кругового руху на перехресті вул. Валенберга Рауля та Беляєва Павла космонавта у м. Мукачево</t>
  </si>
  <si>
    <t>Будівництво кругового руху на перехресті вул. Духновича Олександра та Стуса Василя у  м. Мукачево</t>
  </si>
  <si>
    <t>Будівництво тротуара від вул. Автомобілістів до пішохідного мосту в мікрорайоні Росвигово у м. Мукачево</t>
  </si>
  <si>
    <t>Будівництво антикишень на пішохідних переходах по вул. Ужгородська у м. Мукачево</t>
  </si>
  <si>
    <t>Будівництво паркомісць для туристичних автобусів по вул. Зріні Ілони у м. Мукачево</t>
  </si>
  <si>
    <t>Реконструкція скверу по вул. Федорова Івана у м .Мукачево</t>
  </si>
  <si>
    <t>Будівництво паркомісць для туристичних автобусів по вул.Ужгородська біля МДУ у м. Мукачево</t>
  </si>
  <si>
    <t>Рішення  сесії ММР  № 1667 від  05.12.2019р. (зі змінами)</t>
  </si>
  <si>
    <t>8710</t>
  </si>
  <si>
    <r>
      <t xml:space="preserve">Додаток 3
до рішення  3 -ї позачергової сесії Мукачівської міської ради 8-го скликання                              
"Про бюджет Мукачівської міської територіальної громади на 2021 рік"                   
</t>
    </r>
    <r>
      <rPr>
        <u val="single"/>
        <sz val="12"/>
        <rFont val="Times New Roman"/>
        <family val="1"/>
      </rPr>
      <t xml:space="preserve">від    22  грудня  2020  року № </t>
    </r>
  </si>
  <si>
    <t>Програма реформування та підтримки водопровідного господарства на території Мукачівської міської територіальної громади  на 2020 - 2022 роки</t>
  </si>
  <si>
    <t>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та при наданні спеціалізованої та високоспеціалізованої стаціонарної медичної допомоги мешканцям Мукачівської міської територіальної громади на 2020-2022 роки (нова редакція)</t>
  </si>
  <si>
    <t>Рішення  сесії ММР  № 1869 від 23.04.2020р. (із змінами)</t>
  </si>
  <si>
    <t>Рішення  сесії ММР  № 1649 від 05.12.2019 р.(із змінами)</t>
  </si>
  <si>
    <t>Рішення  сесії ММР  № 1666 від  05.12.2019р.(із змінами)</t>
  </si>
  <si>
    <t>Рішення  сесії ММР  № 1670 від  05.12.2019р. (із змінами)</t>
  </si>
  <si>
    <t>Рішення  сесії ММР  № 1664 від  05.12.2019р.(із змінами)</t>
  </si>
  <si>
    <t>Рішення  сесії  ММР № ____       від 22.12.2020р.</t>
  </si>
  <si>
    <t xml:space="preserve">Рішення  сесії ММР  №          від 22.12.2020 р.  </t>
  </si>
  <si>
    <t>Рішення сесії ММР  № ___ від  22.12.2020 р.</t>
  </si>
  <si>
    <t>Рішення  сесії  ММР №____ від   22.12.2020 р.</t>
  </si>
  <si>
    <t>Програма розвитку економічної, міжнародної та інвестиційної  діяльності Мукачівської міської  територіальної громади  на 2021 - 2023 роки</t>
  </si>
  <si>
    <t>Рішення  сесії  ММР №  ____     від  22.12.2020р.</t>
  </si>
  <si>
    <t>Рішення  сесії ММР  № ____ від     22.12.2020 р.</t>
  </si>
  <si>
    <t xml:space="preserve">Рішення  сесії ММР  №     від 22.12.2020 р. </t>
  </si>
  <si>
    <t>Рішення  сесії ММР  №     від  22.12.2020р.</t>
  </si>
  <si>
    <t>Програма розвитку житлово-комунального господарства Мукачівської міської територіальної громади на 2021-2023  роки</t>
  </si>
  <si>
    <t>Рішення  сесії ММР  №        від  22.12.2020р.</t>
  </si>
  <si>
    <t xml:space="preserve">Програма підтримки та стимулювання створення об’єднань співвласників багатоквартирних будинків Мукачівської міської  територіальної громади на 2021-2023 роки </t>
  </si>
  <si>
    <t>Рішення  сесії ММР  № 1651 від 05.12.2019 р.(із змінами)</t>
  </si>
  <si>
    <t>Рішення  сесії ММР  № 1671 від  05.12.2019р. ( із змінами)</t>
  </si>
  <si>
    <t>Рішення  сесії  ММР № 1677 від 05.12.2019 р. (із змінами)</t>
  </si>
  <si>
    <t>Рішення  сесії ММР  № 1674 від 05.12.2019 р. (із змінами)</t>
  </si>
  <si>
    <t>Рішення  сесії ММР  № 1676 від 05.12.2019 р. (із змінами)</t>
  </si>
  <si>
    <t>Рішення  сесії ММР  № 1675 від 05.12.2019 р. (із змінами)</t>
  </si>
  <si>
    <t>Рішення  сесії ММР  № 1678 від 05.12.2019 р. (із змінами)</t>
  </si>
  <si>
    <t>Рішення  сесії ММР  № 1652 від 05.12.2019р. (із змінами)</t>
  </si>
  <si>
    <t>Рішення  сесії ММР  № 1663 від  05.12.2019р. (із змінами)</t>
  </si>
  <si>
    <t>Рішення  сесії ММР  № 1665 від  05.12.2019р. (із змінами)</t>
  </si>
  <si>
    <t>Рішення  сесії ММР  № 1669  від  05.12.2019р. (із змінами)</t>
  </si>
  <si>
    <t>Рішення  сесії ММР  № 29  від 03.12.2020 р. (із змінами)</t>
  </si>
  <si>
    <r>
      <t xml:space="preserve">Додаток 9
до рішення  3 -ї позачергової сесії Мукачівської міської ради 8-го скликання                              
"Про бюджет Мукачівської міської територіальної громади на 2021 рік"                   
</t>
    </r>
    <r>
      <rPr>
        <u val="single"/>
        <sz val="12"/>
        <rFont val="Times New Roman"/>
        <family val="1"/>
      </rPr>
      <t xml:space="preserve">від    22  грудня  2020  року № </t>
    </r>
  </si>
  <si>
    <t>№ з/п</t>
  </si>
  <si>
    <t>Назва закладів/ установ/ організаій, які фінансуватимуться з бюджету територіальної громади</t>
  </si>
  <si>
    <t>Виконавчий комітет Мукачівської міської ради</t>
  </si>
  <si>
    <t>КНП "Мукачівська центральна районна лікарня"</t>
  </si>
  <si>
    <t>КНП "Центр первинної медико-санітарної допомоги Мукачівської міської об'єднаної територіальної громади"</t>
  </si>
  <si>
    <t>Управління освіти, молоді та спорту Мукачівської міської ради</t>
  </si>
  <si>
    <t>Дошкільний навчальний заклад  №3</t>
  </si>
  <si>
    <t>Дошкільний навчальний заклад  №5</t>
  </si>
  <si>
    <t>Дошкільний навчальний заклад  №7</t>
  </si>
  <si>
    <t>Дошкільний навчальний заклад  №8</t>
  </si>
  <si>
    <t>Дошкільний навчальний заклад  №9</t>
  </si>
  <si>
    <t>Дошкільний навчальний заклад  №11</t>
  </si>
  <si>
    <t>Дошкільний навчальний заклад  №12</t>
  </si>
  <si>
    <t>Дошкільний навчальний заклад  №15</t>
  </si>
  <si>
    <t>Дошкільний навчальний заклад  №16</t>
  </si>
  <si>
    <t>Дошкільний навчальний заклад  №17</t>
  </si>
  <si>
    <t>Дошкільний навчальний заклад  №18</t>
  </si>
  <si>
    <t>Дошкільний навчальний заклад  №19</t>
  </si>
  <si>
    <t>Дошкільний навчальний заклад  №20</t>
  </si>
  <si>
    <t>Дошкільний навчальний заклад  №21</t>
  </si>
  <si>
    <t>Дошкільний навчальний заклад  №23</t>
  </si>
  <si>
    <t>Дошкільний навчальний заклад  №25</t>
  </si>
  <si>
    <t>Дошкільний навчальний заклад  №28</t>
  </si>
  <si>
    <t>Дошкільний навчальний заклад  №29</t>
  </si>
  <si>
    <t>Дошкільний навчальний заклад  №33</t>
  </si>
  <si>
    <t>Заклад дошкільної освіти №4</t>
  </si>
  <si>
    <t>Заклад дошкільної освіти №1</t>
  </si>
  <si>
    <t>Заклад дошкільної освіти №2</t>
  </si>
  <si>
    <t>Заклад дошкільної освіти №6</t>
  </si>
  <si>
    <t>Заклад дошкільної освіти №10</t>
  </si>
  <si>
    <t>Заклад дошкільної освіти №13</t>
  </si>
  <si>
    <t>Заклад дошкільної освіти №14</t>
  </si>
  <si>
    <t>Заклад дошкільної освіти №22</t>
  </si>
  <si>
    <t>Лавківський заклад дошкільної освіти</t>
  </si>
  <si>
    <t>Павшинський заклад дошкільної освіти</t>
  </si>
  <si>
    <t>Дерценський заклад дошкільної освіти</t>
  </si>
  <si>
    <t>Новодавидківський заклад дошкільної освіти</t>
  </si>
  <si>
    <t>Нижньокоропецький заклад дошкільної освіти</t>
  </si>
  <si>
    <t>Шенборнський заклад дошкільної освіти</t>
  </si>
  <si>
    <t>Ключарківський дошкільний навчальний заклад</t>
  </si>
  <si>
    <t>Залужський дошкільний навчальний заклад</t>
  </si>
  <si>
    <t>Пістрялівський дошкільний навчальний заклад</t>
  </si>
  <si>
    <t>Макарівський дошкільний навчальний заклад</t>
  </si>
  <si>
    <t>Барбівський дошкільний навчальний заклад</t>
  </si>
  <si>
    <t>Завидівський дошкільний навчальний заклад</t>
  </si>
  <si>
    <t>Форношський дошкільний навчальний заклад</t>
  </si>
  <si>
    <t>Негрівський дошкільний навчальний заклад</t>
  </si>
  <si>
    <t>Доробратівський заклад дошкільної освіти</t>
  </si>
  <si>
    <t>Загальноосвітня школа І-ІІІ ступенів №1 ім.О.С.Пушкіна</t>
  </si>
  <si>
    <t>Загальноосвітня школа І-ІІІ ступенів №2 ім. Т.Г.Шевченка</t>
  </si>
  <si>
    <t>Спеціалізована школа І-ІІІ ступенів №3 ім.Ф.Ракоці ІІ з поглибленим вивсенням окремих предметів та курсів</t>
  </si>
  <si>
    <t>Спеціалізована школа І-ІІІ ступенів №4 з поглибленим вивсенням окремих предметів та курсів</t>
  </si>
  <si>
    <t>Ліцей №5</t>
  </si>
  <si>
    <t>Ліцей №6</t>
  </si>
  <si>
    <t>Ліцей №10</t>
  </si>
  <si>
    <t>Ліцей №11</t>
  </si>
  <si>
    <t>Ліцей №8</t>
  </si>
  <si>
    <t>Загальноосвітня школа І-ІІІ ступенів №7</t>
  </si>
  <si>
    <t>Загальноосвітня школа І-ІІІ ступенів №13</t>
  </si>
  <si>
    <t>Загальноосвітня школа І-ІІ ступенів №14</t>
  </si>
  <si>
    <t>Загальноосвітня школа І-ІІІ ступенів №20 ім. О.Духновича</t>
  </si>
  <si>
    <t>Гімназія №3</t>
  </si>
  <si>
    <t>Гімназія №15</t>
  </si>
  <si>
    <t>Спеціалізована школа І-ІІІ ступенів №16  з поглибленим вивченням окремих предметів та курсів</t>
  </si>
  <si>
    <t>Мукачівський ліцей</t>
  </si>
  <si>
    <t>Дерценська загальноосвітня школа І-ІІІ ступенів з угорською з угорською мовою навчання</t>
  </si>
  <si>
    <t>Новодавидківська загальноосвітня школа І-ІІІ ступенів</t>
  </si>
  <si>
    <t>Лавківська загальноосвітня школа І-ІІ ступенів</t>
  </si>
  <si>
    <t>Нижньокоропецька загальноосвітня школа І-ІІ ступенів</t>
  </si>
  <si>
    <t>Павшинська загальноосвітня школа І ступеня</t>
  </si>
  <si>
    <t>Барбівська загальноосвітня школа І-ІІ ступенів</t>
  </si>
  <si>
    <t>Комунальний заклад навчально-виховний комплекс "Горбківська загальноосвітня школа І-ІІ ступенів - дошкільний навчальний заклад"</t>
  </si>
  <si>
    <t>Доробратівська загальноосвітня школа І-ІІІ ступенів</t>
  </si>
  <si>
    <t>Завидівська загальноосвітня школа І-ІІ ступенів</t>
  </si>
  <si>
    <t>Залужанська загальноосвітня школа І-ІІІ ступенів</t>
  </si>
  <si>
    <t>Ключарківська загальноосвітня школа І-ІІ ступенів</t>
  </si>
  <si>
    <t>Макарівська загальноосвітня школа І-ІІІ ступенів</t>
  </si>
  <si>
    <t>Негрівська загальноосвітня школа І-ІІ ступенів</t>
  </si>
  <si>
    <t>Пістрялівська загальноосвітня школа І-ІІ ступенів</t>
  </si>
  <si>
    <t>Форношська загальноосвітня школа І-ІІ ступенів</t>
  </si>
  <si>
    <t>Мукачівський центр позашкільної освіти</t>
  </si>
  <si>
    <t>Мукачівський центр дитячої та юнацької творчості</t>
  </si>
  <si>
    <t>Дитячий оздоровчий комплекс "Мрія"</t>
  </si>
  <si>
    <t>Мукачівська міська комунальна установа "Центр професійного розвитку педагогічних працівників"</t>
  </si>
  <si>
    <t>Логопедичний пункт управління освіти, молоді та спорту Мукачівської міської ради</t>
  </si>
  <si>
    <t>Централізована бухгалтерія управління освіти, молоді та спорту Мукачівської міської ради</t>
  </si>
  <si>
    <t>Група по централізованому обслуговуванню навчальних закладів управління освіти, молоді та спорту Мукачівської міської ради</t>
  </si>
  <si>
    <t>Мукачівська міська комунальна установа "Інклюзивно-ресурсний центр"</t>
  </si>
  <si>
    <t>Спортивно-оздоровчий комплекс дитячо-юнацька спортивна школа</t>
  </si>
  <si>
    <t>Управління праці та соціального захисту населення Мукачівської міської ради</t>
  </si>
  <si>
    <t xml:space="preserve"> Відділення соціальної допомоги вдома управління праці та соціального захисту населення Мукачівської міської ради</t>
  </si>
  <si>
    <t xml:space="preserve">Відділ культури Мукачівської міської ради  </t>
  </si>
  <si>
    <t>Дитяча школа мистецтв ім. С.Ф. Мартона</t>
  </si>
  <si>
    <t xml:space="preserve">Дитяча художня школа </t>
  </si>
  <si>
    <t>Хорова школа хлопчиків та юнаків</t>
  </si>
  <si>
    <t>Мукачівський драматичний театр</t>
  </si>
  <si>
    <t>Централізована бібліотечна система</t>
  </si>
  <si>
    <t>Бібліотека філія села Нове Давидково</t>
  </si>
  <si>
    <t>Бібліотека філія села Нижній Коропець</t>
  </si>
  <si>
    <t>Бібліотека філія села Дерцен</t>
  </si>
  <si>
    <t>Бібліотека філія села Шенборн</t>
  </si>
  <si>
    <t>Бібліотека філія села Павшино</t>
  </si>
  <si>
    <t>Бібліотека села Завидово</t>
  </si>
  <si>
    <t>Бібліотека села Макарьово</t>
  </si>
  <si>
    <t>Бібліотека села Пістрялово</t>
  </si>
  <si>
    <t>Бібліотека села Форнош</t>
  </si>
  <si>
    <t>Бібліотека села Ключарки</t>
  </si>
  <si>
    <t>Бібліотека села Барбово</t>
  </si>
  <si>
    <t>Бібліотека села Залужжя</t>
  </si>
  <si>
    <t>Бібліотека села Негрово</t>
  </si>
  <si>
    <t>Бібліотека села Доробратово</t>
  </si>
  <si>
    <t>Палац культури і мистецтв</t>
  </si>
  <si>
    <t>ЦКВ Паланок</t>
  </si>
  <si>
    <t>Центр громадськості та національних культур</t>
  </si>
  <si>
    <t>Будинок культури села Нове Давидково</t>
  </si>
  <si>
    <t>Будинок культури села Нижній Коропець</t>
  </si>
  <si>
    <t>Будинок культури села Дерцен</t>
  </si>
  <si>
    <t>Клуб села Шенборн</t>
  </si>
  <si>
    <t>Клуб села Лавки</t>
  </si>
  <si>
    <t>Клуб села Павшино</t>
  </si>
  <si>
    <t>Будинок культури села Завидово</t>
  </si>
  <si>
    <t>Будинок культури села Макарьово</t>
  </si>
  <si>
    <t>Клуб села Пістрялово</t>
  </si>
  <si>
    <t>Клуб села Форнош</t>
  </si>
  <si>
    <t>Клуб села Ключарки</t>
  </si>
  <si>
    <t>Клуб села Горбок</t>
  </si>
  <si>
    <t>Клуб села Негрово</t>
  </si>
  <si>
    <t>Клуб села Доробратово</t>
  </si>
  <si>
    <t>Централізована бухгалтерія</t>
  </si>
  <si>
    <t xml:space="preserve">Управління міського господарства  Мукачівської міської ради </t>
  </si>
  <si>
    <t xml:space="preserve">Управління будівництва та інфраструктури Мукачівської міської ради  </t>
  </si>
  <si>
    <t>Управління комунальної власності та архітектури  Мукачівської міської ради</t>
  </si>
  <si>
    <t>Фінансове управління   Мукачівської міської ради</t>
  </si>
  <si>
    <t>Перелік закладів/ установ/ організацій, які відповідно до розмежування видатків між бюджетами, визначеними Бюджетним кодексом України, з 01 січня 2021 року фінансуватимуться з бюджету Мукачівської міської територіальної громади</t>
  </si>
  <si>
    <t>(пункт 7)</t>
  </si>
  <si>
    <t>0611021</t>
  </si>
  <si>
    <t>1021</t>
  </si>
  <si>
    <t>Надання загальної середньої освіти закладами загальної середньої освіти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</si>
  <si>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</si>
  <si>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</si>
  <si>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</si>
  <si>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0611151</t>
  </si>
  <si>
    <t>1151</t>
  </si>
  <si>
    <t>0611142</t>
  </si>
  <si>
    <t>1142</t>
  </si>
  <si>
    <t>0611141</t>
  </si>
  <si>
    <t>1141</t>
  </si>
  <si>
    <t>0611130</t>
  </si>
  <si>
    <t>1130</t>
  </si>
  <si>
    <t>0611070</t>
  </si>
  <si>
    <t>1031</t>
  </si>
  <si>
    <t>0611031</t>
  </si>
  <si>
    <t>Керівництво і управління у відповідній сфері у
містах (місті Києві), селищах, селах, 
територіальних громадах</t>
  </si>
  <si>
    <t>Керівництво і управління у відповідній сфері у
містах (місті Києві), селищах, селах,
територіальних громадах</t>
  </si>
  <si>
    <t>0611200</t>
  </si>
  <si>
    <t>1200</t>
  </si>
  <si>
    <t xml:space="preserve">Надання освіти за рахунок субвенції з державного бюджету місцевим бюджетам на надання  державної підтримки особам з особливими освітніми потребами </t>
  </si>
  <si>
    <t>Надання дошкільної освіти</t>
  </si>
  <si>
    <t>Надання загальної середньої освіти закладами загальної середньої освіти, з них:</t>
  </si>
  <si>
    <t xml:space="preserve">Надання позашкільної освіти закладами позашкільної освіти, заходи із позашкільної роботи з дітьми </t>
  </si>
  <si>
    <t>Методичне  забезпечення діяльності закладів  освіти</t>
  </si>
  <si>
    <t>Забезпечення діяльності інклюзивно-ресурсних центрів за рахунок коштів місцевого бюджету</t>
  </si>
  <si>
    <t>1011080</t>
  </si>
  <si>
    <t>1080</t>
  </si>
  <si>
    <t>Розроблення схем планування та забудови територій (містобудівної документації)</t>
  </si>
  <si>
    <t>0611021
0611031
0611200</t>
  </si>
  <si>
    <t>0611151
0611152</t>
  </si>
  <si>
    <t>0611010
0611200</t>
  </si>
  <si>
    <t>Залужанський міжшкільний навчально-виробничий комбінат Мукачівського району Закарпатської області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</si>
</sst>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;\(#,##0.00\)"/>
    <numFmt numFmtId="196" formatCode="0.0%"/>
    <numFmt numFmtId="197" formatCode="0.0000"/>
    <numFmt numFmtId="198" formatCode="0.0"/>
    <numFmt numFmtId="199" formatCode="#,##0.000"/>
    <numFmt numFmtId="200" formatCode="#,##0.0000"/>
    <numFmt numFmtId="201" formatCode="[$-422]d\ mmmm\ yyyy&quot; р.&quot;"/>
    <numFmt numFmtId="202" formatCode="0.000%"/>
    <numFmt numFmtId="203" formatCode="0.0000%"/>
    <numFmt numFmtId="204" formatCode="0.00000000"/>
    <numFmt numFmtId="205" formatCode="0.0000000"/>
    <numFmt numFmtId="206" formatCode="0.000000"/>
    <numFmt numFmtId="207" formatCode="0.00000"/>
    <numFmt numFmtId="208" formatCode="0.000"/>
    <numFmt numFmtId="209" formatCode="#,##0_ ;\-#,##0\ "/>
    <numFmt numFmtId="210" formatCode="#,##0.0_ ;\-#,##0.0\ "/>
    <numFmt numFmtId="211" formatCode="&quot;Так&quot;;&quot;Так&quot;;&quot;Ні&quot;"/>
    <numFmt numFmtId="212" formatCode="&quot;True&quot;;&quot;True&quot;;&quot;False&quot;"/>
    <numFmt numFmtId="213" formatCode="&quot;Увімк&quot;;&quot;Увімк&quot;;&quot;Вимк&quot;"/>
    <numFmt numFmtId="214" formatCode="[$¥€-2]\ ###,000_);[Red]\([$€-2]\ ###,000\)"/>
    <numFmt numFmtId="215" formatCode="0_ ;[Red]\-0\ "/>
    <numFmt numFmtId="216" formatCode="#,##0.00\ _₴"/>
    <numFmt numFmtId="217" formatCode="#,##0_ ;[Red]\-#,##0\ "/>
    <numFmt numFmtId="218" formatCode="#,##0.00_ ;\-#,##0.00\ "/>
    <numFmt numFmtId="219" formatCode="_-* #,##0\ _г_р_н_._-;\-* #,##0\ _г_р_н_._-;_-* &quot;-&quot;??\ _г_р_н_._-;_-@_-"/>
  </numFmts>
  <fonts count="92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0"/>
      <name val="Times New Roman CYR"/>
      <family val="0"/>
    </font>
    <font>
      <sz val="16"/>
      <name val="Times New Roman"/>
      <family val="1"/>
    </font>
    <font>
      <sz val="12"/>
      <name val="Times New Roman CYR"/>
      <family val="0"/>
    </font>
    <font>
      <sz val="12"/>
      <color indexed="60"/>
      <name val="Times New Roman"/>
      <family val="1"/>
    </font>
    <font>
      <sz val="14"/>
      <name val="Times New Roman"/>
      <family val="1"/>
    </font>
    <font>
      <u val="single"/>
      <sz val="6.8"/>
      <color indexed="12"/>
      <name val="Arial Cyr"/>
      <family val="0"/>
    </font>
    <font>
      <u val="single"/>
      <sz val="6.8"/>
      <color indexed="20"/>
      <name val="Arial Cyr"/>
      <family val="0"/>
    </font>
    <font>
      <i/>
      <sz val="12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 CYR"/>
      <family val="0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sz val="9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56"/>
      <name val="Times New Roman"/>
      <family val="1"/>
    </font>
    <font>
      <i/>
      <sz val="12"/>
      <color indexed="56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16" fillId="2" borderId="0" applyNumberFormat="0" applyBorder="0" applyAlignment="0" applyProtection="0"/>
    <xf numFmtId="0" fontId="67" fillId="3" borderId="0" applyNumberFormat="0" applyBorder="0" applyAlignment="0" applyProtection="0"/>
    <xf numFmtId="0" fontId="16" fillId="3" borderId="0" applyNumberFormat="0" applyBorder="0" applyAlignment="0" applyProtection="0"/>
    <xf numFmtId="0" fontId="67" fillId="4" borderId="0" applyNumberFormat="0" applyBorder="0" applyAlignment="0" applyProtection="0"/>
    <xf numFmtId="0" fontId="16" fillId="4" borderId="0" applyNumberFormat="0" applyBorder="0" applyAlignment="0" applyProtection="0"/>
    <xf numFmtId="0" fontId="67" fillId="5" borderId="0" applyNumberFormat="0" applyBorder="0" applyAlignment="0" applyProtection="0"/>
    <xf numFmtId="0" fontId="16" fillId="5" borderId="0" applyNumberFormat="0" applyBorder="0" applyAlignment="0" applyProtection="0"/>
    <xf numFmtId="0" fontId="67" fillId="6" borderId="0" applyNumberFormat="0" applyBorder="0" applyAlignment="0" applyProtection="0"/>
    <xf numFmtId="0" fontId="16" fillId="7" borderId="0" applyNumberFormat="0" applyBorder="0" applyAlignment="0" applyProtection="0"/>
    <xf numFmtId="0" fontId="67" fillId="8" borderId="0" applyNumberFormat="0" applyBorder="0" applyAlignment="0" applyProtection="0"/>
    <xf numFmtId="0" fontId="16" fillId="9" borderId="0" applyNumberFormat="0" applyBorder="0" applyAlignment="0" applyProtection="0"/>
    <xf numFmtId="0" fontId="67" fillId="10" borderId="0" applyNumberFormat="0" applyBorder="0" applyAlignment="0" applyProtection="0"/>
    <xf numFmtId="0" fontId="16" fillId="10" borderId="0" applyNumberFormat="0" applyBorder="0" applyAlignment="0" applyProtection="0"/>
    <xf numFmtId="0" fontId="67" fillId="11" borderId="0" applyNumberFormat="0" applyBorder="0" applyAlignment="0" applyProtection="0"/>
    <xf numFmtId="0" fontId="16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3" borderId="0" applyNumberFormat="0" applyBorder="0" applyAlignment="0" applyProtection="0"/>
    <xf numFmtId="0" fontId="67" fillId="5" borderId="0" applyNumberFormat="0" applyBorder="0" applyAlignment="0" applyProtection="0"/>
    <xf numFmtId="0" fontId="16" fillId="5" borderId="0" applyNumberFormat="0" applyBorder="0" applyAlignment="0" applyProtection="0"/>
    <xf numFmtId="0" fontId="67" fillId="14" borderId="0" applyNumberFormat="0" applyBorder="0" applyAlignment="0" applyProtection="0"/>
    <xf numFmtId="0" fontId="16" fillId="10" borderId="0" applyNumberFormat="0" applyBorder="0" applyAlignment="0" applyProtection="0"/>
    <xf numFmtId="0" fontId="67" fillId="15" borderId="0" applyNumberFormat="0" applyBorder="0" applyAlignment="0" applyProtection="0"/>
    <xf numFmtId="0" fontId="16" fillId="15" borderId="0" applyNumberFormat="0" applyBorder="0" applyAlignment="0" applyProtection="0"/>
    <xf numFmtId="0" fontId="68" fillId="16" borderId="0" applyNumberFormat="0" applyBorder="0" applyAlignment="0" applyProtection="0"/>
    <xf numFmtId="0" fontId="17" fillId="16" borderId="0" applyNumberFormat="0" applyBorder="0" applyAlignment="0" applyProtection="0"/>
    <xf numFmtId="0" fontId="68" fillId="17" borderId="0" applyNumberFormat="0" applyBorder="0" applyAlignment="0" applyProtection="0"/>
    <xf numFmtId="0" fontId="17" fillId="12" borderId="0" applyNumberFormat="0" applyBorder="0" applyAlignment="0" applyProtection="0"/>
    <xf numFmtId="0" fontId="68" fillId="13" borderId="0" applyNumberFormat="0" applyBorder="0" applyAlignment="0" applyProtection="0"/>
    <xf numFmtId="0" fontId="17" fillId="13" borderId="0" applyNumberFormat="0" applyBorder="0" applyAlignment="0" applyProtection="0"/>
    <xf numFmtId="0" fontId="68" fillId="18" borderId="0" applyNumberFormat="0" applyBorder="0" applyAlignment="0" applyProtection="0"/>
    <xf numFmtId="0" fontId="17" fillId="18" borderId="0" applyNumberFormat="0" applyBorder="0" applyAlignment="0" applyProtection="0"/>
    <xf numFmtId="0" fontId="68" fillId="19" borderId="0" applyNumberFormat="0" applyBorder="0" applyAlignment="0" applyProtection="0"/>
    <xf numFmtId="0" fontId="17" fillId="20" borderId="0" applyNumberFormat="0" applyBorder="0" applyAlignment="0" applyProtection="0"/>
    <xf numFmtId="0" fontId="68" fillId="21" borderId="0" applyNumberFormat="0" applyBorder="0" applyAlignment="0" applyProtection="0"/>
    <xf numFmtId="0" fontId="17" fillId="21" borderId="0" applyNumberFormat="0" applyBorder="0" applyAlignment="0" applyProtection="0"/>
    <xf numFmtId="0" fontId="42" fillId="0" borderId="0">
      <alignment/>
      <protection/>
    </xf>
    <xf numFmtId="0" fontId="68" fillId="22" borderId="0" applyNumberFormat="0" applyBorder="0" applyAlignment="0" applyProtection="0"/>
    <xf numFmtId="0" fontId="17" fillId="22" borderId="0" applyNumberFormat="0" applyBorder="0" applyAlignment="0" applyProtection="0"/>
    <xf numFmtId="0" fontId="68" fillId="23" borderId="0" applyNumberFormat="0" applyBorder="0" applyAlignment="0" applyProtection="0"/>
    <xf numFmtId="0" fontId="17" fillId="24" borderId="0" applyNumberFormat="0" applyBorder="0" applyAlignment="0" applyProtection="0"/>
    <xf numFmtId="0" fontId="68" fillId="25" borderId="0" applyNumberFormat="0" applyBorder="0" applyAlignment="0" applyProtection="0"/>
    <xf numFmtId="0" fontId="17" fillId="26" borderId="0" applyNumberFormat="0" applyBorder="0" applyAlignment="0" applyProtection="0"/>
    <xf numFmtId="0" fontId="68" fillId="18" borderId="0" applyNumberFormat="0" applyBorder="0" applyAlignment="0" applyProtection="0"/>
    <xf numFmtId="0" fontId="17" fillId="18" borderId="0" applyNumberFormat="0" applyBorder="0" applyAlignment="0" applyProtection="0"/>
    <xf numFmtId="0" fontId="68" fillId="27" borderId="0" applyNumberFormat="0" applyBorder="0" applyAlignment="0" applyProtection="0"/>
    <xf numFmtId="0" fontId="17" fillId="20" borderId="0" applyNumberFormat="0" applyBorder="0" applyAlignment="0" applyProtection="0"/>
    <xf numFmtId="0" fontId="68" fillId="28" borderId="0" applyNumberFormat="0" applyBorder="0" applyAlignment="0" applyProtection="0"/>
    <xf numFmtId="0" fontId="17" fillId="29" borderId="0" applyNumberFormat="0" applyBorder="0" applyAlignment="0" applyProtection="0"/>
    <xf numFmtId="0" fontId="69" fillId="30" borderId="1" applyNumberFormat="0" applyAlignment="0" applyProtection="0"/>
    <xf numFmtId="0" fontId="18" fillId="9" borderId="2" applyNumberFormat="0" applyAlignment="0" applyProtection="0"/>
    <xf numFmtId="9" fontId="0" fillId="0" borderId="0" applyFont="0" applyFill="0" applyBorder="0" applyAlignment="0" applyProtection="0"/>
    <xf numFmtId="0" fontId="70" fillId="31" borderId="3" applyNumberFormat="0" applyAlignment="0" applyProtection="0"/>
    <xf numFmtId="0" fontId="19" fillId="31" borderId="4" applyNumberFormat="0" applyAlignment="0" applyProtection="0"/>
    <xf numFmtId="0" fontId="71" fillId="31" borderId="1" applyNumberFormat="0" applyAlignment="0" applyProtection="0"/>
    <xf numFmtId="0" fontId="20" fillId="31" borderId="2" applyNumberFormat="0" applyAlignment="0" applyProtection="0"/>
    <xf numFmtId="0" fontId="3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72" fillId="0" borderId="9" applyNumberFormat="0" applyFill="0" applyAlignment="0" applyProtection="0"/>
    <xf numFmtId="0" fontId="22" fillId="0" borderId="9" applyNumberFormat="0" applyFill="0" applyAlignment="0" applyProtection="0"/>
    <xf numFmtId="0" fontId="73" fillId="32" borderId="10" applyNumberFormat="0" applyAlignment="0" applyProtection="0"/>
    <xf numFmtId="0" fontId="23" fillId="33" borderId="11" applyNumberFormat="0" applyAlignment="0" applyProtection="0"/>
    <xf numFmtId="0" fontId="12" fillId="0" borderId="0" applyNumberFormat="0" applyFill="0" applyBorder="0" applyAlignment="0" applyProtection="0"/>
    <xf numFmtId="0" fontId="74" fillId="34" borderId="0" applyNumberFormat="0" applyBorder="0" applyAlignment="0" applyProtection="0"/>
    <xf numFmtId="0" fontId="24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6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7" fillId="0" borderId="0" applyNumberFormat="0" applyFill="0" applyBorder="0" applyAlignment="0" applyProtection="0"/>
    <xf numFmtId="0" fontId="75" fillId="36" borderId="0" applyNumberFormat="0" applyBorder="0" applyAlignment="0" applyProtection="0"/>
    <xf numFmtId="0" fontId="25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2" applyNumberFormat="0" applyFont="0" applyAlignment="0" applyProtection="0"/>
    <xf numFmtId="0" fontId="0" fillId="38" borderId="13" applyNumberFormat="0" applyFont="0" applyAlignment="0" applyProtection="0"/>
    <xf numFmtId="9" fontId="0" fillId="0" borderId="0" applyFont="0" applyFill="0" applyBorder="0" applyAlignment="0" applyProtection="0"/>
    <xf numFmtId="0" fontId="77" fillId="0" borderId="14" applyNumberFormat="0" applyFill="0" applyAlignment="0" applyProtection="0"/>
    <xf numFmtId="0" fontId="27" fillId="0" borderId="15" applyNumberFormat="0" applyFill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9" fillId="39" borderId="0" applyNumberFormat="0" applyBorder="0" applyAlignment="0" applyProtection="0"/>
    <xf numFmtId="0" fontId="29" fillId="4" borderId="0" applyNumberFormat="0" applyBorder="0" applyAlignment="0" applyProtection="0"/>
  </cellStyleXfs>
  <cellXfs count="77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40" borderId="0" xfId="0" applyNumberFormat="1" applyFont="1" applyFill="1" applyAlignment="1" applyProtection="1">
      <alignment/>
      <protection/>
    </xf>
    <xf numFmtId="0" fontId="6" fillId="40" borderId="0" xfId="0" applyFont="1" applyFill="1" applyAlignment="1">
      <alignment horizontal="center" vertical="center"/>
    </xf>
    <xf numFmtId="0" fontId="6" fillId="40" borderId="0" xfId="0" applyFont="1" applyFill="1" applyAlignment="1">
      <alignment/>
    </xf>
    <xf numFmtId="0" fontId="8" fillId="40" borderId="0" xfId="0" applyNumberFormat="1" applyFont="1" applyFill="1" applyAlignment="1" applyProtection="1">
      <alignment/>
      <protection/>
    </xf>
    <xf numFmtId="0" fontId="8" fillId="40" borderId="0" xfId="0" applyFont="1" applyFill="1" applyAlignment="1">
      <alignment/>
    </xf>
    <xf numFmtId="0" fontId="4" fillId="40" borderId="0" xfId="0" applyFont="1" applyFill="1" applyAlignment="1">
      <alignment horizontal="center" vertical="center"/>
    </xf>
    <xf numFmtId="0" fontId="4" fillId="4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6" fillId="40" borderId="0" xfId="0" applyFont="1" applyFill="1" applyAlignment="1">
      <alignment vertical="center"/>
    </xf>
    <xf numFmtId="3" fontId="6" fillId="40" borderId="0" xfId="0" applyNumberFormat="1" applyFont="1" applyFill="1" applyAlignment="1">
      <alignment/>
    </xf>
    <xf numFmtId="0" fontId="6" fillId="40" borderId="16" xfId="0" applyFont="1" applyFill="1" applyBorder="1" applyAlignment="1">
      <alignment wrapText="1"/>
    </xf>
    <xf numFmtId="1" fontId="6" fillId="40" borderId="0" xfId="0" applyNumberFormat="1" applyFont="1" applyFill="1" applyAlignment="1">
      <alignment horizontal="center" vertical="center"/>
    </xf>
    <xf numFmtId="0" fontId="4" fillId="40" borderId="16" xfId="0" applyFont="1" applyFill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distributed"/>
    </xf>
    <xf numFmtId="0" fontId="4" fillId="0" borderId="0" xfId="0" applyFont="1" applyFill="1" applyAlignment="1">
      <alignment/>
    </xf>
    <xf numFmtId="0" fontId="6" fillId="40" borderId="0" xfId="0" applyFont="1" applyFill="1" applyBorder="1" applyAlignment="1">
      <alignment/>
    </xf>
    <xf numFmtId="0" fontId="4" fillId="40" borderId="16" xfId="0" applyFont="1" applyFill="1" applyBorder="1" applyAlignment="1">
      <alignment horizontal="left" wrapText="1"/>
    </xf>
    <xf numFmtId="0" fontId="13" fillId="40" borderId="16" xfId="0" applyFont="1" applyFill="1" applyBorder="1" applyAlignment="1">
      <alignment wrapText="1"/>
    </xf>
    <xf numFmtId="3" fontId="13" fillId="40" borderId="16" xfId="0" applyNumberFormat="1" applyFont="1" applyFill="1" applyBorder="1" applyAlignment="1">
      <alignment wrapText="1"/>
    </xf>
    <xf numFmtId="4" fontId="4" fillId="0" borderId="0" xfId="0" applyNumberFormat="1" applyFont="1" applyFill="1" applyAlignment="1">
      <alignment/>
    </xf>
    <xf numFmtId="0" fontId="4" fillId="40" borderId="0" xfId="0" applyNumberFormat="1" applyFont="1" applyFill="1" applyAlignment="1" applyProtection="1">
      <alignment/>
      <protection/>
    </xf>
    <xf numFmtId="49" fontId="6" fillId="40" borderId="0" xfId="0" applyNumberFormat="1" applyFont="1" applyFill="1" applyBorder="1" applyAlignment="1">
      <alignment horizontal="center" vertical="distributed" wrapText="1"/>
    </xf>
    <xf numFmtId="0" fontId="4" fillId="40" borderId="16" xfId="0" applyFont="1" applyFill="1" applyBorder="1" applyAlignment="1">
      <alignment horizontal="center" vertical="center" wrapText="1"/>
    </xf>
    <xf numFmtId="0" fontId="6" fillId="4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right"/>
    </xf>
    <xf numFmtId="3" fontId="6" fillId="0" borderId="16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/>
    </xf>
    <xf numFmtId="0" fontId="6" fillId="40" borderId="0" xfId="0" applyNumberFormat="1" applyFont="1" applyFill="1" applyBorder="1" applyAlignment="1" applyProtection="1">
      <alignment/>
      <protection/>
    </xf>
    <xf numFmtId="1" fontId="6" fillId="40" borderId="0" xfId="0" applyNumberFormat="1" applyFont="1" applyFill="1" applyBorder="1" applyAlignment="1" applyProtection="1">
      <alignment/>
      <protection/>
    </xf>
    <xf numFmtId="1" fontId="6" fillId="40" borderId="0" xfId="0" applyNumberFormat="1" applyFont="1" applyFill="1" applyAlignment="1">
      <alignment/>
    </xf>
    <xf numFmtId="0" fontId="6" fillId="40" borderId="0" xfId="0" applyNumberFormat="1" applyFont="1" applyFill="1" applyAlignment="1" applyProtection="1">
      <alignment vertical="center"/>
      <protection/>
    </xf>
    <xf numFmtId="0" fontId="6" fillId="40" borderId="0" xfId="0" applyNumberFormat="1" applyFont="1" applyFill="1" applyAlignment="1" applyProtection="1">
      <alignment horizontal="left"/>
      <protection/>
    </xf>
    <xf numFmtId="0" fontId="6" fillId="40" borderId="0" xfId="0" applyFont="1" applyFill="1" applyAlignment="1">
      <alignment horizontal="left"/>
    </xf>
    <xf numFmtId="0" fontId="6" fillId="40" borderId="0" xfId="0" applyFont="1" applyFill="1" applyAlignment="1">
      <alignment vertical="center" wrapText="1"/>
    </xf>
    <xf numFmtId="0" fontId="6" fillId="40" borderId="0" xfId="0" applyNumberFormat="1" applyFont="1" applyFill="1" applyBorder="1" applyAlignment="1" applyProtection="1">
      <alignment vertical="center" wrapText="1"/>
      <protection/>
    </xf>
    <xf numFmtId="0" fontId="6" fillId="40" borderId="0" xfId="0" applyNumberFormat="1" applyFont="1" applyFill="1" applyBorder="1" applyAlignment="1" applyProtection="1">
      <alignment horizontal="center" vertical="center" wrapText="1"/>
      <protection/>
    </xf>
    <xf numFmtId="0" fontId="6" fillId="40" borderId="0" xfId="97" applyFont="1" applyFill="1" applyBorder="1" applyAlignment="1">
      <alignment horizontal="left"/>
      <protection/>
    </xf>
    <xf numFmtId="4" fontId="4" fillId="40" borderId="0" xfId="0" applyNumberFormat="1" applyFont="1" applyFill="1" applyAlignment="1">
      <alignment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6" fillId="40" borderId="0" xfId="0" applyFont="1" applyFill="1" applyBorder="1" applyAlignment="1">
      <alignment wrapText="1"/>
    </xf>
    <xf numFmtId="0" fontId="1" fillId="40" borderId="0" xfId="0" applyNumberFormat="1" applyFont="1" applyFill="1" applyAlignment="1" applyProtection="1">
      <alignment horizontal="center" vertical="center" wrapText="1"/>
      <protection/>
    </xf>
    <xf numFmtId="0" fontId="1" fillId="40" borderId="0" xfId="0" applyNumberFormat="1" applyFont="1" applyFill="1" applyAlignment="1" applyProtection="1">
      <alignment vertical="center" wrapText="1"/>
      <protection/>
    </xf>
    <xf numFmtId="0" fontId="4" fillId="40" borderId="0" xfId="0" applyFont="1" applyFill="1" applyBorder="1" applyAlignment="1">
      <alignment/>
    </xf>
    <xf numFmtId="0" fontId="5" fillId="40" borderId="16" xfId="0" applyFont="1" applyFill="1" applyBorder="1" applyAlignment="1">
      <alignment wrapText="1"/>
    </xf>
    <xf numFmtId="0" fontId="15" fillId="40" borderId="16" xfId="0" applyFont="1" applyFill="1" applyBorder="1" applyAlignment="1">
      <alignment wrapText="1"/>
    </xf>
    <xf numFmtId="3" fontId="13" fillId="40" borderId="16" xfId="0" applyNumberFormat="1" applyFont="1" applyFill="1" applyBorder="1" applyAlignment="1">
      <alignment/>
    </xf>
    <xf numFmtId="0" fontId="32" fillId="40" borderId="0" xfId="0" applyFont="1" applyFill="1" applyAlignment="1">
      <alignment/>
    </xf>
    <xf numFmtId="0" fontId="30" fillId="40" borderId="0" xfId="0" applyFont="1" applyFill="1" applyBorder="1" applyAlignment="1">
      <alignment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40" borderId="0" xfId="0" applyFont="1" applyFill="1" applyAlignment="1">
      <alignment/>
    </xf>
    <xf numFmtId="0" fontId="32" fillId="40" borderId="0" xfId="0" applyNumberFormat="1" applyFont="1" applyFill="1" applyAlignment="1" applyProtection="1">
      <alignment/>
      <protection/>
    </xf>
    <xf numFmtId="0" fontId="32" fillId="40" borderId="0" xfId="0" applyNumberFormat="1" applyFont="1" applyFill="1" applyBorder="1" applyAlignment="1" applyProtection="1">
      <alignment vertical="center" wrapText="1"/>
      <protection/>
    </xf>
    <xf numFmtId="0" fontId="32" fillId="40" borderId="0" xfId="0" applyNumberFormat="1" applyFont="1" applyFill="1" applyBorder="1" applyAlignment="1" applyProtection="1">
      <alignment horizontal="left" vertical="center" wrapText="1"/>
      <protection/>
    </xf>
    <xf numFmtId="194" fontId="6" fillId="40" borderId="0" xfId="0" applyNumberFormat="1" applyFont="1" applyFill="1" applyAlignment="1" applyProtection="1">
      <alignment horizontal="center" vertical="center"/>
      <protection/>
    </xf>
    <xf numFmtId="194" fontId="6" fillId="40" borderId="0" xfId="0" applyNumberFormat="1" applyFont="1" applyFill="1" applyAlignment="1">
      <alignment horizontal="center" vertical="center"/>
    </xf>
    <xf numFmtId="194" fontId="6" fillId="40" borderId="0" xfId="0" applyNumberFormat="1" applyFont="1" applyFill="1" applyAlignment="1">
      <alignment/>
    </xf>
    <xf numFmtId="49" fontId="8" fillId="41" borderId="16" xfId="0" applyNumberFormat="1" applyFont="1" applyFill="1" applyBorder="1" applyAlignment="1">
      <alignment horizontal="center" vertical="center"/>
    </xf>
    <xf numFmtId="0" fontId="4" fillId="41" borderId="0" xfId="0" applyNumberFormat="1" applyFont="1" applyFill="1" applyAlignment="1" applyProtection="1">
      <alignment/>
      <protection/>
    </xf>
    <xf numFmtId="0" fontId="4" fillId="41" borderId="0" xfId="0" applyFont="1" applyFill="1" applyAlignment="1">
      <alignment/>
    </xf>
    <xf numFmtId="3" fontId="6" fillId="41" borderId="16" xfId="0" applyNumberFormat="1" applyFont="1" applyFill="1" applyBorder="1" applyAlignment="1">
      <alignment horizontal="right" vertical="center" wrapText="1"/>
    </xf>
    <xf numFmtId="49" fontId="4" fillId="41" borderId="16" xfId="0" applyNumberFormat="1" applyFont="1" applyFill="1" applyBorder="1" applyAlignment="1">
      <alignment horizontal="center" vertical="center" wrapText="1"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distributed" wrapText="1"/>
    </xf>
    <xf numFmtId="194" fontId="4" fillId="41" borderId="16" xfId="0" applyNumberFormat="1" applyFont="1" applyFill="1" applyBorder="1" applyAlignment="1">
      <alignment horizontal="left" vertical="center" wrapText="1"/>
    </xf>
    <xf numFmtId="0" fontId="6" fillId="41" borderId="0" xfId="0" applyFont="1" applyFill="1" applyAlignment="1">
      <alignment vertical="distributed"/>
    </xf>
    <xf numFmtId="0" fontId="6" fillId="41" borderId="0" xfId="0" applyFont="1" applyFill="1" applyBorder="1" applyAlignment="1">
      <alignment vertical="distributed"/>
    </xf>
    <xf numFmtId="0" fontId="4" fillId="41" borderId="0" xfId="0" applyFont="1" applyFill="1" applyAlignment="1">
      <alignment vertical="distributed"/>
    </xf>
    <xf numFmtId="0" fontId="7" fillId="41" borderId="0" xfId="0" applyFont="1" applyFill="1" applyAlignment="1">
      <alignment/>
    </xf>
    <xf numFmtId="0" fontId="6" fillId="41" borderId="0" xfId="0" applyFont="1" applyFill="1" applyAlignment="1">
      <alignment/>
    </xf>
    <xf numFmtId="3" fontId="4" fillId="41" borderId="16" xfId="0" applyNumberFormat="1" applyFont="1" applyFill="1" applyBorder="1" applyAlignment="1">
      <alignment horizontal="right" vertical="center" wrapText="1"/>
    </xf>
    <xf numFmtId="0" fontId="8" fillId="41" borderId="0" xfId="0" applyFont="1" applyFill="1" applyAlignment="1">
      <alignment/>
    </xf>
    <xf numFmtId="0" fontId="4" fillId="41" borderId="0" xfId="0" applyFont="1" applyFill="1" applyBorder="1" applyAlignment="1">
      <alignment/>
    </xf>
    <xf numFmtId="0" fontId="6" fillId="41" borderId="0" xfId="0" applyFont="1" applyFill="1" applyBorder="1" applyAlignment="1">
      <alignment/>
    </xf>
    <xf numFmtId="0" fontId="4" fillId="41" borderId="0" xfId="0" applyFont="1" applyFill="1" applyAlignment="1">
      <alignment vertical="center"/>
    </xf>
    <xf numFmtId="0" fontId="4" fillId="41" borderId="16" xfId="0" applyFont="1" applyFill="1" applyBorder="1" applyAlignment="1">
      <alignment wrapText="1"/>
    </xf>
    <xf numFmtId="3" fontId="6" fillId="40" borderId="17" xfId="0" applyNumberFormat="1" applyFont="1" applyFill="1" applyBorder="1" applyAlignment="1">
      <alignment/>
    </xf>
    <xf numFmtId="3" fontId="6" fillId="40" borderId="17" xfId="0" applyNumberFormat="1" applyFont="1" applyFill="1" applyBorder="1" applyAlignment="1">
      <alignment wrapText="1"/>
    </xf>
    <xf numFmtId="49" fontId="6" fillId="40" borderId="16" xfId="0" applyNumberFormat="1" applyFont="1" applyFill="1" applyBorder="1" applyAlignment="1">
      <alignment wrapText="1"/>
    </xf>
    <xf numFmtId="0" fontId="4" fillId="41" borderId="16" xfId="0" applyFont="1" applyFill="1" applyBorder="1" applyAlignment="1">
      <alignment horizontal="center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3" fontId="5" fillId="41" borderId="16" xfId="82" applyNumberFormat="1" applyFont="1" applyFill="1" applyBorder="1" applyAlignment="1">
      <alignment horizontal="right" vertical="center"/>
      <protection/>
    </xf>
    <xf numFmtId="3" fontId="15" fillId="41" borderId="16" xfId="0" applyNumberFormat="1" applyFont="1" applyFill="1" applyBorder="1" applyAlignment="1">
      <alignment horizontal="right" vertical="center"/>
    </xf>
    <xf numFmtId="0" fontId="4" fillId="40" borderId="0" xfId="0" applyNumberFormat="1" applyFont="1" applyFill="1" applyBorder="1" applyAlignment="1" applyProtection="1">
      <alignment horizontal="center" vertical="center"/>
      <protection/>
    </xf>
    <xf numFmtId="0" fontId="6" fillId="40" borderId="0" xfId="0" applyFont="1" applyFill="1" applyBorder="1" applyAlignment="1">
      <alignment horizontal="center" vertical="center"/>
    </xf>
    <xf numFmtId="0" fontId="6" fillId="40" borderId="0" xfId="0" applyNumberFormat="1" applyFont="1" applyFill="1" applyBorder="1" applyAlignment="1" applyProtection="1">
      <alignment horizontal="center" vertical="center"/>
      <protection/>
    </xf>
    <xf numFmtId="0" fontId="38" fillId="41" borderId="16" xfId="0" applyNumberFormat="1" applyFont="1" applyFill="1" applyBorder="1" applyAlignment="1" applyProtection="1">
      <alignment horizontal="left" vertical="center" wrapText="1"/>
      <protection/>
    </xf>
    <xf numFmtId="0" fontId="33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2" borderId="0" xfId="0" applyFont="1" applyFill="1" applyAlignment="1">
      <alignment/>
    </xf>
    <xf numFmtId="0" fontId="4" fillId="40" borderId="0" xfId="0" applyNumberFormat="1" applyFont="1" applyFill="1" applyAlignment="1" applyProtection="1">
      <alignment vertical="center"/>
      <protection/>
    </xf>
    <xf numFmtId="49" fontId="6" fillId="41" borderId="16" xfId="0" applyNumberFormat="1" applyFont="1" applyFill="1" applyBorder="1" applyAlignment="1">
      <alignment horizontal="center" vertical="center" wrapText="1"/>
    </xf>
    <xf numFmtId="3" fontId="80" fillId="0" borderId="16" xfId="0" applyNumberFormat="1" applyFont="1" applyFill="1" applyBorder="1" applyAlignment="1">
      <alignment horizontal="center" vertical="distributed"/>
    </xf>
    <xf numFmtId="49" fontId="80" fillId="0" borderId="0" xfId="0" applyNumberFormat="1" applyFont="1" applyFill="1" applyAlignment="1">
      <alignment horizontal="center" vertical="center"/>
    </xf>
    <xf numFmtId="0" fontId="80" fillId="0" borderId="0" xfId="0" applyFont="1" applyFill="1" applyBorder="1" applyAlignment="1">
      <alignment/>
    </xf>
    <xf numFmtId="3" fontId="6" fillId="40" borderId="0" xfId="0" applyNumberFormat="1" applyFont="1" applyFill="1" applyAlignment="1">
      <alignment horizontal="center" vertical="center"/>
    </xf>
    <xf numFmtId="0" fontId="6" fillId="0" borderId="0" xfId="97" applyFont="1" applyBorder="1" applyAlignment="1">
      <alignment/>
      <protection/>
    </xf>
    <xf numFmtId="0" fontId="6" fillId="41" borderId="0" xfId="0" applyFont="1" applyFill="1" applyAlignment="1">
      <alignment vertical="center" wrapText="1"/>
    </xf>
    <xf numFmtId="0" fontId="6" fillId="41" borderId="0" xfId="0" applyNumberFormat="1" applyFont="1" applyFill="1" applyBorder="1" applyAlignment="1" applyProtection="1">
      <alignment vertical="center" wrapText="1"/>
      <protection/>
    </xf>
    <xf numFmtId="0" fontId="32" fillId="41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>
      <alignment/>
    </xf>
    <xf numFmtId="0" fontId="2" fillId="40" borderId="0" xfId="0" applyNumberFormat="1" applyFont="1" applyFill="1" applyBorder="1" applyAlignment="1" applyProtection="1">
      <alignment horizontal="center" vertical="center" wrapText="1"/>
      <protection/>
    </xf>
    <xf numFmtId="0" fontId="13" fillId="4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81" fillId="0" borderId="0" xfId="0" applyFont="1" applyAlignment="1">
      <alignment vertical="center"/>
    </xf>
    <xf numFmtId="0" fontId="6" fillId="0" borderId="0" xfId="0" applyFont="1" applyAlignment="1">
      <alignment/>
    </xf>
    <xf numFmtId="0" fontId="80" fillId="41" borderId="0" xfId="0" applyNumberFormat="1" applyFont="1" applyFill="1" applyAlignment="1" applyProtection="1">
      <alignment horizontal="left" vertical="center" wrapText="1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3" fillId="0" borderId="0" xfId="51" applyFont="1" applyFill="1" applyBorder="1" applyAlignment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39" fillId="0" borderId="18" xfId="0" applyNumberFormat="1" applyFont="1" applyFill="1" applyBorder="1" applyAlignment="1" applyProtection="1">
      <alignment horizontal="right" vertical="center"/>
      <protection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3" fontId="6" fillId="0" borderId="16" xfId="0" applyNumberFormat="1" applyFont="1" applyFill="1" applyBorder="1" applyAlignment="1" applyProtection="1">
      <alignment horizontal="right" vertical="center" wrapText="1"/>
      <protection/>
    </xf>
    <xf numFmtId="3" fontId="5" fillId="0" borderId="16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justify" vertical="center" wrapText="1"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6" xfId="0" applyFont="1" applyBorder="1" applyAlignment="1">
      <alignment horizontal="left" vertical="center" wrapText="1"/>
    </xf>
    <xf numFmtId="0" fontId="2" fillId="40" borderId="0" xfId="0" applyNumberFormat="1" applyFont="1" applyFill="1" applyBorder="1" applyAlignment="1" applyProtection="1">
      <alignment horizontal="left" vertical="center" wrapText="1"/>
      <protection/>
    </xf>
    <xf numFmtId="0" fontId="35" fillId="40" borderId="0" xfId="0" applyNumberFormat="1" applyFont="1" applyFill="1" applyBorder="1" applyAlignment="1" applyProtection="1">
      <alignment horizontal="left" vertical="center" wrapText="1"/>
      <protection/>
    </xf>
    <xf numFmtId="0" fontId="2" fillId="40" borderId="0" xfId="0" applyNumberFormat="1" applyFont="1" applyFill="1" applyBorder="1" applyAlignment="1" applyProtection="1">
      <alignment vertical="center" wrapText="1"/>
      <protection/>
    </xf>
    <xf numFmtId="0" fontId="80" fillId="0" borderId="0" xfId="0" applyFont="1" applyFill="1" applyAlignment="1">
      <alignment horizontal="right" vertical="top"/>
    </xf>
    <xf numFmtId="0" fontId="6" fillId="40" borderId="16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35" fillId="40" borderId="0" xfId="0" applyFont="1" applyFill="1" applyBorder="1" applyAlignment="1">
      <alignment/>
    </xf>
    <xf numFmtId="49" fontId="6" fillId="40" borderId="0" xfId="0" applyNumberFormat="1" applyFont="1" applyFill="1" applyBorder="1" applyAlignment="1">
      <alignment/>
    </xf>
    <xf numFmtId="0" fontId="4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42" borderId="0" xfId="0" applyFont="1" applyFill="1" applyBorder="1" applyAlignment="1">
      <alignment vertical="distributed"/>
    </xf>
    <xf numFmtId="49" fontId="8" fillId="41" borderId="16" xfId="0" applyNumberFormat="1" applyFont="1" applyFill="1" applyBorder="1" applyAlignment="1">
      <alignment horizontal="center" vertical="center" wrapText="1"/>
    </xf>
    <xf numFmtId="3" fontId="8" fillId="41" borderId="16" xfId="0" applyNumberFormat="1" applyFont="1" applyFill="1" applyBorder="1" applyAlignment="1">
      <alignment horizontal="right" vertical="center" wrapText="1"/>
    </xf>
    <xf numFmtId="0" fontId="8" fillId="40" borderId="0" xfId="0" applyFont="1" applyFill="1" applyAlignment="1">
      <alignment horizontal="center" vertical="center"/>
    </xf>
    <xf numFmtId="0" fontId="82" fillId="41" borderId="0" xfId="0" applyFont="1" applyFill="1" applyAlignment="1">
      <alignment/>
    </xf>
    <xf numFmtId="3" fontId="6" fillId="41" borderId="16" xfId="96" applyNumberFormat="1" applyFont="1" applyFill="1" applyBorder="1" applyAlignment="1">
      <alignment horizontal="right" vertical="center"/>
      <protection/>
    </xf>
    <xf numFmtId="3" fontId="8" fillId="41" borderId="16" xfId="96" applyNumberFormat="1" applyFont="1" applyFill="1" applyBorder="1" applyAlignment="1">
      <alignment horizontal="right" vertical="center"/>
      <protection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8" fillId="41" borderId="16" xfId="0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41" borderId="16" xfId="0" applyFont="1" applyFill="1" applyBorder="1" applyAlignment="1">
      <alignment horizontal="center" vertical="center" wrapText="1"/>
    </xf>
    <xf numFmtId="49" fontId="6" fillId="41" borderId="16" xfId="96" applyNumberFormat="1" applyFont="1" applyFill="1" applyBorder="1" applyAlignment="1">
      <alignment horizontal="center" vertical="center"/>
      <protection/>
    </xf>
    <xf numFmtId="0" fontId="6" fillId="41" borderId="16" xfId="0" applyFont="1" applyFill="1" applyBorder="1" applyAlignment="1">
      <alignment vertical="center" wrapText="1"/>
    </xf>
    <xf numFmtId="3" fontId="4" fillId="41" borderId="16" xfId="96" applyNumberFormat="1" applyFont="1" applyFill="1" applyBorder="1" applyAlignment="1">
      <alignment horizontal="right" vertical="center"/>
      <protection/>
    </xf>
    <xf numFmtId="194" fontId="4" fillId="41" borderId="16" xfId="0" applyNumberFormat="1" applyFont="1" applyFill="1" applyBorder="1" applyAlignment="1" applyProtection="1">
      <alignment vertical="center" wrapText="1"/>
      <protection/>
    </xf>
    <xf numFmtId="194" fontId="6" fillId="41" borderId="16" xfId="0" applyNumberFormat="1" applyFont="1" applyFill="1" applyBorder="1" applyAlignment="1">
      <alignment vertical="center" wrapText="1"/>
    </xf>
    <xf numFmtId="0" fontId="6" fillId="41" borderId="16" xfId="0" applyNumberFormat="1" applyFont="1" applyFill="1" applyBorder="1" applyAlignment="1" applyProtection="1">
      <alignment horizontal="justify" vertical="center" wrapText="1"/>
      <protection/>
    </xf>
    <xf numFmtId="0" fontId="6" fillId="41" borderId="16" xfId="96" applyFont="1" applyFill="1" applyBorder="1" applyAlignment="1">
      <alignment horizontal="center" vertical="center"/>
      <protection/>
    </xf>
    <xf numFmtId="0" fontId="6" fillId="41" borderId="16" xfId="0" applyFont="1" applyFill="1" applyBorder="1" applyAlignment="1">
      <alignment vertical="center"/>
    </xf>
    <xf numFmtId="0" fontId="6" fillId="41" borderId="16" xfId="0" applyFont="1" applyFill="1" applyBorder="1" applyAlignment="1">
      <alignment/>
    </xf>
    <xf numFmtId="49" fontId="8" fillId="41" borderId="16" xfId="0" applyNumberFormat="1" applyFont="1" applyFill="1" applyBorder="1" applyAlignment="1" applyProtection="1">
      <alignment horizontal="center" vertical="distributed" wrapText="1"/>
      <protection/>
    </xf>
    <xf numFmtId="49" fontId="6" fillId="41" borderId="16" xfId="0" applyNumberFormat="1" applyFont="1" applyFill="1" applyBorder="1" applyAlignment="1" applyProtection="1">
      <alignment horizontal="center" vertical="distributed" wrapText="1"/>
      <protection/>
    </xf>
    <xf numFmtId="3" fontId="7" fillId="41" borderId="16" xfId="0" applyNumberFormat="1" applyFont="1" applyFill="1" applyBorder="1" applyAlignment="1">
      <alignment horizontal="right" vertical="center" wrapText="1"/>
    </xf>
    <xf numFmtId="3" fontId="7" fillId="41" borderId="16" xfId="0" applyNumberFormat="1" applyFont="1" applyFill="1" applyBorder="1" applyAlignment="1" applyProtection="1">
      <alignment horizontal="right" vertical="center" wrapText="1"/>
      <protection/>
    </xf>
    <xf numFmtId="3" fontId="7" fillId="41" borderId="16" xfId="0" applyNumberFormat="1" applyFont="1" applyFill="1" applyBorder="1" applyAlignment="1">
      <alignment vertical="center" wrapText="1"/>
    </xf>
    <xf numFmtId="0" fontId="7" fillId="41" borderId="16" xfId="0" applyFont="1" applyFill="1" applyBorder="1" applyAlignment="1">
      <alignment horizontal="left" vertical="center" wrapText="1"/>
    </xf>
    <xf numFmtId="49" fontId="7" fillId="41" borderId="16" xfId="0" applyNumberFormat="1" applyFont="1" applyFill="1" applyBorder="1" applyAlignment="1" applyProtection="1">
      <alignment horizontal="center" vertical="center" wrapText="1"/>
      <protection/>
    </xf>
    <xf numFmtId="49" fontId="7" fillId="41" borderId="16" xfId="0" applyNumberFormat="1" applyFont="1" applyFill="1" applyBorder="1" applyAlignment="1">
      <alignment horizontal="center" vertical="center"/>
    </xf>
    <xf numFmtId="3" fontId="6" fillId="41" borderId="16" xfId="0" applyNumberFormat="1" applyFont="1" applyFill="1" applyBorder="1" applyAlignment="1" applyProtection="1">
      <alignment horizontal="right" vertical="center" wrapText="1"/>
      <protection/>
    </xf>
    <xf numFmtId="3" fontId="4" fillId="41" borderId="16" xfId="0" applyNumberFormat="1" applyFont="1" applyFill="1" applyBorder="1" applyAlignment="1" applyProtection="1">
      <alignment horizontal="right" vertical="center" wrapText="1"/>
      <protection/>
    </xf>
    <xf numFmtId="3" fontId="4" fillId="41" borderId="16" xfId="0" applyNumberFormat="1" applyFont="1" applyFill="1" applyBorder="1" applyAlignment="1">
      <alignment vertical="center" wrapText="1"/>
    </xf>
    <xf numFmtId="194" fontId="4" fillId="41" borderId="16" xfId="0" applyNumberFormat="1" applyFont="1" applyFill="1" applyBorder="1" applyAlignment="1" applyProtection="1">
      <alignment horizontal="left" vertical="center" wrapText="1"/>
      <protection/>
    </xf>
    <xf numFmtId="49" fontId="4" fillId="41" borderId="16" xfId="0" applyNumberFormat="1" applyFont="1" applyFill="1" applyBorder="1" applyAlignment="1" applyProtection="1">
      <alignment horizontal="center" vertical="center" wrapText="1"/>
      <protection/>
    </xf>
    <xf numFmtId="3" fontId="6" fillId="41" borderId="16" xfId="0" applyNumberFormat="1" applyFont="1" applyFill="1" applyBorder="1" applyAlignment="1">
      <alignment vertical="center" wrapText="1"/>
    </xf>
    <xf numFmtId="0" fontId="6" fillId="41" borderId="16" xfId="0" applyNumberFormat="1" applyFont="1" applyFill="1" applyBorder="1" applyAlignment="1" applyProtection="1">
      <alignment wrapText="1"/>
      <protection/>
    </xf>
    <xf numFmtId="0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1" borderId="16" xfId="0" applyFont="1" applyFill="1" applyBorder="1" applyAlignment="1">
      <alignment horizontal="justify" vertical="center" wrapText="1"/>
    </xf>
    <xf numFmtId="194" fontId="6" fillId="41" borderId="16" xfId="0" applyNumberFormat="1" applyFont="1" applyFill="1" applyBorder="1" applyAlignment="1" applyProtection="1">
      <alignment vertical="center" wrapText="1"/>
      <protection/>
    </xf>
    <xf numFmtId="49" fontId="6" fillId="41" borderId="16" xfId="0" applyNumberFormat="1" applyFont="1" applyFill="1" applyBorder="1" applyAlignment="1">
      <alignment horizontal="center" vertical="distributed" wrapText="1"/>
    </xf>
    <xf numFmtId="49" fontId="8" fillId="41" borderId="16" xfId="0" applyNumberFormat="1" applyFont="1" applyFill="1" applyBorder="1" applyAlignment="1">
      <alignment horizontal="center" vertical="center"/>
    </xf>
    <xf numFmtId="3" fontId="6" fillId="41" borderId="16" xfId="0" applyNumberFormat="1" applyFont="1" applyFill="1" applyBorder="1" applyAlignment="1">
      <alignment horizontal="right" vertical="center" wrapText="1"/>
    </xf>
    <xf numFmtId="0" fontId="4" fillId="41" borderId="16" xfId="0" applyFont="1" applyFill="1" applyBorder="1" applyAlignment="1">
      <alignment horizontal="left" vertical="center" wrapText="1"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distributed" wrapText="1"/>
    </xf>
    <xf numFmtId="194" fontId="4" fillId="41" borderId="16" xfId="0" applyNumberFormat="1" applyFont="1" applyFill="1" applyBorder="1" applyAlignment="1">
      <alignment horizontal="left" vertical="center" wrapText="1"/>
    </xf>
    <xf numFmtId="3" fontId="4" fillId="41" borderId="16" xfId="0" applyNumberFormat="1" applyFont="1" applyFill="1" applyBorder="1" applyAlignment="1">
      <alignment horizontal="right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194" fontId="6" fillId="41" borderId="16" xfId="0" applyNumberFormat="1" applyFont="1" applyFill="1" applyBorder="1" applyAlignment="1">
      <alignment horizontal="left" vertical="center" wrapText="1"/>
    </xf>
    <xf numFmtId="0" fontId="6" fillId="41" borderId="16" xfId="0" applyFont="1" applyFill="1" applyBorder="1" applyAlignment="1">
      <alignment horizontal="left" vertical="center" wrapText="1"/>
    </xf>
    <xf numFmtId="0" fontId="83" fillId="0" borderId="0" xfId="0" applyFont="1" applyFill="1" applyAlignment="1">
      <alignment/>
    </xf>
    <xf numFmtId="0" fontId="80" fillId="0" borderId="0" xfId="0" applyFont="1" applyFill="1" applyAlignment="1">
      <alignment vertical="center"/>
    </xf>
    <xf numFmtId="0" fontId="80" fillId="0" borderId="0" xfId="0" applyFont="1" applyFill="1" applyAlignment="1">
      <alignment/>
    </xf>
    <xf numFmtId="3" fontId="80" fillId="0" borderId="0" xfId="0" applyNumberFormat="1" applyFont="1" applyFill="1" applyAlignment="1">
      <alignment/>
    </xf>
    <xf numFmtId="3" fontId="83" fillId="0" borderId="0" xfId="0" applyNumberFormat="1" applyFont="1" applyFill="1" applyAlignment="1">
      <alignment/>
    </xf>
    <xf numFmtId="49" fontId="4" fillId="41" borderId="16" xfId="0" applyNumberFormat="1" applyFont="1" applyFill="1" applyBorder="1" applyAlignment="1" applyProtection="1">
      <alignment horizontal="center" vertical="distributed" wrapText="1"/>
      <protection/>
    </xf>
    <xf numFmtId="49" fontId="6" fillId="41" borderId="17" xfId="0" applyNumberFormat="1" applyFont="1" applyFill="1" applyBorder="1" applyAlignment="1">
      <alignment horizontal="center" vertical="distributed" wrapText="1"/>
    </xf>
    <xf numFmtId="3" fontId="6" fillId="41" borderId="16" xfId="0" applyNumberFormat="1" applyFont="1" applyFill="1" applyBorder="1" applyAlignment="1">
      <alignment horizontal="right" vertical="center"/>
    </xf>
    <xf numFmtId="0" fontId="6" fillId="41" borderId="16" xfId="0" applyNumberFormat="1" applyFont="1" applyFill="1" applyBorder="1" applyAlignment="1">
      <alignment horizontal="justify" vertical="center" wrapText="1"/>
    </xf>
    <xf numFmtId="0" fontId="4" fillId="41" borderId="16" xfId="98" applyFont="1" applyFill="1" applyBorder="1" applyAlignment="1">
      <alignment/>
      <protection/>
    </xf>
    <xf numFmtId="3" fontId="4" fillId="41" borderId="16" xfId="0" applyNumberFormat="1" applyFont="1" applyFill="1" applyBorder="1" applyAlignment="1">
      <alignment horizontal="right" vertical="center"/>
    </xf>
    <xf numFmtId="49" fontId="2" fillId="41" borderId="16" xfId="0" applyNumberFormat="1" applyFont="1" applyFill="1" applyBorder="1" applyAlignment="1">
      <alignment horizontal="center" vertical="center"/>
    </xf>
    <xf numFmtId="49" fontId="2" fillId="41" borderId="16" xfId="0" applyNumberFormat="1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left" vertical="center" wrapText="1"/>
    </xf>
    <xf numFmtId="49" fontId="35" fillId="41" borderId="16" xfId="0" applyNumberFormat="1" applyFont="1" applyFill="1" applyBorder="1" applyAlignment="1">
      <alignment horizontal="center" vertical="center"/>
    </xf>
    <xf numFmtId="49" fontId="35" fillId="41" borderId="16" xfId="0" applyNumberFormat="1" applyFont="1" applyFill="1" applyBorder="1" applyAlignment="1">
      <alignment horizontal="center" vertical="center" wrapText="1"/>
    </xf>
    <xf numFmtId="0" fontId="35" fillId="41" borderId="16" xfId="0" applyFont="1" applyFill="1" applyBorder="1" applyAlignment="1">
      <alignment horizontal="left" vertical="center" wrapText="1"/>
    </xf>
    <xf numFmtId="3" fontId="35" fillId="41" borderId="16" xfId="82" applyNumberFormat="1" applyFont="1" applyFill="1" applyBorder="1" applyAlignment="1">
      <alignment horizontal="center" vertical="center"/>
      <protection/>
    </xf>
    <xf numFmtId="194" fontId="2" fillId="41" borderId="16" xfId="0" applyNumberFormat="1" applyFont="1" applyFill="1" applyBorder="1" applyAlignment="1">
      <alignment horizontal="left" vertical="center" wrapText="1"/>
    </xf>
    <xf numFmtId="194" fontId="35" fillId="41" borderId="16" xfId="0" applyNumberFormat="1" applyFont="1" applyFill="1" applyBorder="1" applyAlignment="1">
      <alignment horizontal="left" vertical="center" wrapText="1"/>
    </xf>
    <xf numFmtId="3" fontId="35" fillId="41" borderId="17" xfId="82" applyNumberFormat="1" applyFont="1" applyFill="1" applyBorder="1" applyAlignment="1">
      <alignment horizontal="center" vertical="center" wrapText="1"/>
      <protection/>
    </xf>
    <xf numFmtId="49" fontId="52" fillId="41" borderId="16" xfId="0" applyNumberFormat="1" applyFont="1" applyFill="1" applyBorder="1" applyAlignment="1">
      <alignment horizontal="center" vertical="center" wrapText="1"/>
    </xf>
    <xf numFmtId="0" fontId="2" fillId="41" borderId="16" xfId="95" applyFont="1" applyFill="1" applyBorder="1" applyAlignment="1" applyProtection="1">
      <alignment horizontal="left" vertical="center" wrapText="1"/>
      <protection/>
    </xf>
    <xf numFmtId="49" fontId="35" fillId="43" borderId="16" xfId="80" applyNumberFormat="1" applyFont="1" applyFill="1" applyBorder="1" applyAlignment="1">
      <alignment horizontal="center" vertical="center"/>
      <protection/>
    </xf>
    <xf numFmtId="49" fontId="35" fillId="43" borderId="16" xfId="80" applyNumberFormat="1" applyFont="1" applyFill="1" applyBorder="1" applyAlignment="1">
      <alignment horizontal="center" vertical="center" wrapText="1"/>
      <protection/>
    </xf>
    <xf numFmtId="3" fontId="2" fillId="41" borderId="16" xfId="0" applyNumberFormat="1" applyFont="1" applyFill="1" applyBorder="1" applyAlignment="1">
      <alignment horizontal="center" vertical="center" wrapText="1"/>
    </xf>
    <xf numFmtId="3" fontId="6" fillId="40" borderId="0" xfId="0" applyNumberFormat="1" applyFont="1" applyFill="1" applyBorder="1" applyAlignment="1" applyProtection="1">
      <alignment vertical="center" wrapText="1"/>
      <protection/>
    </xf>
    <xf numFmtId="3" fontId="32" fillId="40" borderId="0" xfId="0" applyNumberFormat="1" applyFont="1" applyFill="1" applyBorder="1" applyAlignment="1" applyProtection="1">
      <alignment vertical="center" wrapText="1"/>
      <protection/>
    </xf>
    <xf numFmtId="3" fontId="6" fillId="40" borderId="0" xfId="0" applyNumberFormat="1" applyFont="1" applyFill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3" fontId="35" fillId="41" borderId="16" xfId="82" applyNumberFormat="1" applyFont="1" applyFill="1" applyBorder="1" applyAlignment="1">
      <alignment horizontal="center" vertical="center" wrapText="1"/>
      <protection/>
    </xf>
    <xf numFmtId="0" fontId="84" fillId="0" borderId="0" xfId="0" applyFont="1" applyFill="1" applyAlignment="1">
      <alignment horizontal="center" vertical="center" wrapText="1"/>
    </xf>
    <xf numFmtId="0" fontId="6" fillId="41" borderId="0" xfId="0" applyNumberFormat="1" applyFont="1" applyFill="1" applyAlignment="1" applyProtection="1">
      <alignment horizontal="center" vertical="center"/>
      <protection/>
    </xf>
    <xf numFmtId="49" fontId="85" fillId="41" borderId="16" xfId="0" applyNumberFormat="1" applyFont="1" applyFill="1" applyBorder="1" applyAlignment="1">
      <alignment horizontal="center" vertical="center"/>
    </xf>
    <xf numFmtId="49" fontId="85" fillId="41" borderId="16" xfId="96" applyNumberFormat="1" applyFont="1" applyFill="1" applyBorder="1" applyAlignment="1">
      <alignment horizontal="center" vertical="center"/>
      <protection/>
    </xf>
    <xf numFmtId="49" fontId="85" fillId="41" borderId="16" xfId="0" applyNumberFormat="1" applyFont="1" applyFill="1" applyBorder="1" applyAlignment="1" applyProtection="1">
      <alignment horizontal="center" vertical="center" wrapText="1"/>
      <protection/>
    </xf>
    <xf numFmtId="194" fontId="85" fillId="41" borderId="16" xfId="0" applyNumberFormat="1" applyFont="1" applyFill="1" applyBorder="1" applyAlignment="1" applyProtection="1">
      <alignment vertical="center" wrapText="1"/>
      <protection/>
    </xf>
    <xf numFmtId="0" fontId="85" fillId="41" borderId="16" xfId="0" applyFont="1" applyFill="1" applyBorder="1" applyAlignment="1">
      <alignment vertical="center" wrapText="1"/>
    </xf>
    <xf numFmtId="0" fontId="85" fillId="41" borderId="16" xfId="0" applyFont="1" applyFill="1" applyBorder="1" applyAlignment="1">
      <alignment wrapText="1"/>
    </xf>
    <xf numFmtId="0" fontId="85" fillId="41" borderId="16" xfId="0" applyFont="1" applyFill="1" applyBorder="1" applyAlignment="1">
      <alignment horizontal="justify" vertical="center" wrapText="1"/>
    </xf>
    <xf numFmtId="0" fontId="2" fillId="43" borderId="16" xfId="95" applyFont="1" applyFill="1" applyBorder="1" applyAlignment="1">
      <alignment horizontal="left" vertical="center" wrapText="1"/>
      <protection/>
    </xf>
    <xf numFmtId="0" fontId="35" fillId="43" borderId="16" xfId="95" applyFont="1" applyFill="1" applyBorder="1" applyAlignment="1">
      <alignment horizontal="left" vertical="center" wrapText="1"/>
      <protection/>
    </xf>
    <xf numFmtId="194" fontId="35" fillId="41" borderId="19" xfId="82" applyNumberFormat="1" applyFont="1" applyFill="1" applyBorder="1" applyAlignment="1">
      <alignment horizontal="center" vertical="center" wrapText="1"/>
      <protection/>
    </xf>
    <xf numFmtId="194" fontId="35" fillId="41" borderId="16" xfId="82" applyNumberFormat="1" applyFont="1" applyFill="1" applyBorder="1" applyAlignment="1">
      <alignment horizontal="center" vertical="center"/>
      <protection/>
    </xf>
    <xf numFmtId="0" fontId="1" fillId="41" borderId="0" xfId="0" applyNumberFormat="1" applyFont="1" applyFill="1" applyAlignment="1" applyProtection="1">
      <alignment horizontal="left" vertical="center" wrapText="1"/>
      <protection/>
    </xf>
    <xf numFmtId="0" fontId="5" fillId="40" borderId="0" xfId="0" applyFont="1" applyFill="1" applyAlignment="1">
      <alignment horizontal="center"/>
    </xf>
    <xf numFmtId="0" fontId="4" fillId="40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4" fillId="40" borderId="16" xfId="0" applyFont="1" applyFill="1" applyBorder="1" applyAlignment="1">
      <alignment/>
    </xf>
    <xf numFmtId="0" fontId="6" fillId="41" borderId="16" xfId="0" applyFont="1" applyFill="1" applyBorder="1" applyAlignment="1">
      <alignment horizontal="left" wrapText="1"/>
    </xf>
    <xf numFmtId="0" fontId="6" fillId="41" borderId="16" xfId="0" applyFont="1" applyFill="1" applyBorder="1" applyAlignment="1">
      <alignment horizontal="center"/>
    </xf>
    <xf numFmtId="0" fontId="4" fillId="41" borderId="16" xfId="0" applyFont="1" applyFill="1" applyBorder="1" applyAlignment="1">
      <alignment horizontal="center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94" fontId="86" fillId="41" borderId="16" xfId="0" applyNumberFormat="1" applyFont="1" applyFill="1" applyBorder="1" applyAlignment="1" applyProtection="1">
      <alignment vertical="center" wrapText="1"/>
      <protection/>
    </xf>
    <xf numFmtId="49" fontId="86" fillId="41" borderId="16" xfId="0" applyNumberFormat="1" applyFont="1" applyFill="1" applyBorder="1" applyAlignment="1" applyProtection="1">
      <alignment horizontal="center" vertical="center" wrapText="1"/>
      <protection/>
    </xf>
    <xf numFmtId="0" fontId="8" fillId="41" borderId="0" xfId="0" applyFont="1" applyFill="1" applyBorder="1" applyAlignment="1">
      <alignment vertical="distributed"/>
    </xf>
    <xf numFmtId="49" fontId="86" fillId="41" borderId="16" xfId="96" applyNumberFormat="1" applyFont="1" applyFill="1" applyBorder="1" applyAlignment="1">
      <alignment horizontal="center" vertical="center"/>
      <protection/>
    </xf>
    <xf numFmtId="49" fontId="86" fillId="41" borderId="16" xfId="0" applyNumberFormat="1" applyFont="1" applyFill="1" applyBorder="1" applyAlignment="1">
      <alignment horizontal="center" vertical="center"/>
    </xf>
    <xf numFmtId="0" fontId="86" fillId="41" borderId="16" xfId="0" applyFont="1" applyFill="1" applyBorder="1" applyAlignment="1">
      <alignment wrapText="1"/>
    </xf>
    <xf numFmtId="0" fontId="4" fillId="41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0" borderId="0" xfId="0" applyFont="1" applyAlignment="1">
      <alignment wrapText="1"/>
    </xf>
    <xf numFmtId="49" fontId="80" fillId="41" borderId="16" xfId="0" applyNumberFormat="1" applyFont="1" applyFill="1" applyBorder="1" applyAlignment="1">
      <alignment horizontal="center" vertical="center"/>
    </xf>
    <xf numFmtId="49" fontId="80" fillId="41" borderId="16" xfId="0" applyNumberFormat="1" applyFont="1" applyFill="1" applyBorder="1" applyAlignment="1">
      <alignment horizontal="center" vertical="center" wrapText="1"/>
    </xf>
    <xf numFmtId="194" fontId="80" fillId="41" borderId="16" xfId="0" applyNumberFormat="1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distributed" wrapText="1"/>
    </xf>
    <xf numFmtId="0" fontId="5" fillId="40" borderId="0" xfId="0" applyFont="1" applyFill="1" applyAlignment="1">
      <alignment/>
    </xf>
    <xf numFmtId="49" fontId="6" fillId="40" borderId="0" xfId="0" applyNumberFormat="1" applyFont="1" applyFill="1" applyAlignment="1">
      <alignment/>
    </xf>
    <xf numFmtId="0" fontId="6" fillId="40" borderId="0" xfId="0" applyFont="1" applyFill="1" applyAlignment="1">
      <alignment horizontal="center"/>
    </xf>
    <xf numFmtId="3" fontId="4" fillId="41" borderId="16" xfId="0" applyNumberFormat="1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 wrapText="1"/>
    </xf>
    <xf numFmtId="3" fontId="4" fillId="40" borderId="16" xfId="0" applyNumberFormat="1" applyFont="1" applyFill="1" applyBorder="1" applyAlignment="1">
      <alignment/>
    </xf>
    <xf numFmtId="3" fontId="4" fillId="40" borderId="16" xfId="0" applyNumberFormat="1" applyFont="1" applyFill="1" applyBorder="1" applyAlignment="1">
      <alignment wrapText="1"/>
    </xf>
    <xf numFmtId="0" fontId="6" fillId="40" borderId="16" xfId="0" applyFont="1" applyFill="1" applyBorder="1" applyAlignment="1">
      <alignment horizontal="center" wrapText="1"/>
    </xf>
    <xf numFmtId="3" fontId="6" fillId="40" borderId="16" xfId="0" applyNumberFormat="1" applyFont="1" applyFill="1" applyBorder="1" applyAlignment="1">
      <alignment/>
    </xf>
    <xf numFmtId="3" fontId="6" fillId="40" borderId="16" xfId="99" applyNumberFormat="1" applyFont="1" applyFill="1" applyBorder="1">
      <alignment/>
      <protection/>
    </xf>
    <xf numFmtId="3" fontId="6" fillId="40" borderId="16" xfId="0" applyNumberFormat="1" applyFont="1" applyFill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wrapText="1"/>
    </xf>
    <xf numFmtId="0" fontId="6" fillId="41" borderId="16" xfId="0" applyFont="1" applyFill="1" applyBorder="1" applyAlignment="1">
      <alignment wrapText="1"/>
    </xf>
    <xf numFmtId="3" fontId="6" fillId="41" borderId="16" xfId="0" applyNumberFormat="1" applyFont="1" applyFill="1" applyBorder="1" applyAlignment="1">
      <alignment/>
    </xf>
    <xf numFmtId="3" fontId="6" fillId="41" borderId="16" xfId="0" applyNumberFormat="1" applyFont="1" applyFill="1" applyBorder="1" applyAlignment="1">
      <alignment wrapText="1"/>
    </xf>
    <xf numFmtId="0" fontId="4" fillId="41" borderId="16" xfId="0" applyFont="1" applyFill="1" applyBorder="1" applyAlignment="1">
      <alignment horizontal="center" wrapText="1"/>
    </xf>
    <xf numFmtId="3" fontId="4" fillId="41" borderId="16" xfId="0" applyNumberFormat="1" applyFont="1" applyFill="1" applyBorder="1" applyAlignment="1">
      <alignment/>
    </xf>
    <xf numFmtId="3" fontId="4" fillId="41" borderId="16" xfId="0" applyNumberFormat="1" applyFont="1" applyFill="1" applyBorder="1" applyAlignment="1">
      <alignment wrapText="1"/>
    </xf>
    <xf numFmtId="0" fontId="13" fillId="40" borderId="16" xfId="0" applyFont="1" applyFill="1" applyBorder="1" applyAlignment="1">
      <alignment horizontal="center" wrapText="1"/>
    </xf>
    <xf numFmtId="0" fontId="1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 wrapText="1"/>
    </xf>
    <xf numFmtId="0" fontId="15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 wrapText="1"/>
    </xf>
    <xf numFmtId="49" fontId="80" fillId="41" borderId="16" xfId="0" applyNumberFormat="1" applyFont="1" applyFill="1" applyBorder="1" applyAlignment="1">
      <alignment horizontal="center" vertical="center"/>
    </xf>
    <xf numFmtId="49" fontId="80" fillId="41" borderId="16" xfId="0" applyNumberFormat="1" applyFont="1" applyFill="1" applyBorder="1" applyAlignment="1">
      <alignment horizontal="center" vertical="center" wrapText="1"/>
    </xf>
    <xf numFmtId="194" fontId="80" fillId="41" borderId="16" xfId="0" applyNumberFormat="1" applyFont="1" applyFill="1" applyBorder="1" applyAlignment="1" applyProtection="1">
      <alignment horizontal="left" vertical="center" wrapText="1"/>
      <protection/>
    </xf>
    <xf numFmtId="3" fontId="6" fillId="41" borderId="16" xfId="96" applyNumberFormat="1" applyFont="1" applyFill="1" applyBorder="1" applyAlignment="1">
      <alignment horizontal="center" vertical="center"/>
      <protection/>
    </xf>
    <xf numFmtId="49" fontId="6" fillId="41" borderId="16" xfId="96" applyNumberFormat="1" applyFont="1" applyFill="1" applyBorder="1" applyAlignment="1">
      <alignment horizontal="center" vertical="center" wrapText="1"/>
      <protection/>
    </xf>
    <xf numFmtId="194" fontId="35" fillId="44" borderId="23" xfId="0" applyNumberFormat="1" applyFont="1" applyFill="1" applyBorder="1" applyAlignment="1">
      <alignment horizontal="center" vertical="center" wrapText="1"/>
    </xf>
    <xf numFmtId="0" fontId="35" fillId="41" borderId="0" xfId="0" applyNumberFormat="1" applyFont="1" applyFill="1" applyBorder="1" applyAlignment="1" applyProtection="1">
      <alignment horizontal="left" vertical="center" wrapText="1"/>
      <protection/>
    </xf>
    <xf numFmtId="1" fontId="35" fillId="41" borderId="16" xfId="79" applyNumberFormat="1" applyFont="1" applyFill="1" applyBorder="1" applyAlignment="1">
      <alignment horizontal="center" vertical="center"/>
      <protection/>
    </xf>
    <xf numFmtId="3" fontId="35" fillId="41" borderId="19" xfId="82" applyNumberFormat="1" applyFont="1" applyFill="1" applyBorder="1" applyAlignment="1">
      <alignment horizontal="center" vertical="center" wrapText="1"/>
      <protection/>
    </xf>
    <xf numFmtId="194" fontId="35" fillId="41" borderId="24" xfId="82" applyNumberFormat="1" applyFont="1" applyFill="1" applyBorder="1" applyAlignment="1">
      <alignment horizontal="center" vertical="center" wrapText="1"/>
      <protection/>
    </xf>
    <xf numFmtId="194" fontId="35" fillId="41" borderId="25" xfId="82" applyNumberFormat="1" applyFont="1" applyFill="1" applyBorder="1" applyAlignment="1">
      <alignment horizontal="center" vertical="center"/>
      <protection/>
    </xf>
    <xf numFmtId="194" fontId="35" fillId="41" borderId="26" xfId="82" applyNumberFormat="1" applyFont="1" applyFill="1" applyBorder="1" applyAlignment="1">
      <alignment horizontal="center" vertical="center" wrapText="1"/>
      <protection/>
    </xf>
    <xf numFmtId="0" fontId="2" fillId="41" borderId="16" xfId="0" applyFont="1" applyFill="1" applyBorder="1" applyAlignment="1">
      <alignment horizontal="center" vertical="center" wrapText="1"/>
    </xf>
    <xf numFmtId="194" fontId="2" fillId="41" borderId="25" xfId="0" applyNumberFormat="1" applyFont="1" applyFill="1" applyBorder="1" applyAlignment="1">
      <alignment horizontal="center" vertical="center" wrapText="1"/>
    </xf>
    <xf numFmtId="3" fontId="2" fillId="41" borderId="22" xfId="0" applyNumberFormat="1" applyFont="1" applyFill="1" applyBorder="1" applyAlignment="1">
      <alignment horizontal="center" vertical="center" wrapText="1"/>
    </xf>
    <xf numFmtId="194" fontId="2" fillId="41" borderId="16" xfId="0" applyNumberFormat="1" applyFont="1" applyFill="1" applyBorder="1" applyAlignment="1">
      <alignment horizontal="center" vertical="center" wrapText="1"/>
    </xf>
    <xf numFmtId="217" fontId="2" fillId="44" borderId="21" xfId="82" applyNumberFormat="1" applyFont="1" applyFill="1" applyBorder="1" applyAlignment="1">
      <alignment horizontal="center" vertical="center" wrapText="1"/>
      <protection/>
    </xf>
    <xf numFmtId="194" fontId="2" fillId="44" borderId="21" xfId="82" applyNumberFormat="1" applyFont="1" applyFill="1" applyBorder="1" applyAlignment="1">
      <alignment horizontal="center" vertical="center" wrapText="1"/>
      <protection/>
    </xf>
    <xf numFmtId="0" fontId="35" fillId="43" borderId="17" xfId="95" applyFont="1" applyFill="1" applyBorder="1" applyAlignment="1">
      <alignment horizontal="left" vertical="center" wrapText="1"/>
      <protection/>
    </xf>
    <xf numFmtId="0" fontId="35" fillId="44" borderId="16" xfId="95" applyFont="1" applyFill="1" applyBorder="1" applyAlignment="1">
      <alignment horizontal="left" vertical="center" wrapText="1"/>
      <protection/>
    </xf>
    <xf numFmtId="194" fontId="35" fillId="41" borderId="0" xfId="0" applyNumberFormat="1" applyFont="1" applyFill="1" applyBorder="1" applyAlignment="1" applyProtection="1">
      <alignment horizontal="center" vertical="center" wrapText="1"/>
      <protection/>
    </xf>
    <xf numFmtId="0" fontId="35" fillId="43" borderId="25" xfId="95" applyFont="1" applyFill="1" applyBorder="1" applyAlignment="1">
      <alignment horizontal="left" vertical="center" wrapText="1"/>
      <protection/>
    </xf>
    <xf numFmtId="0" fontId="35" fillId="43" borderId="26" xfId="95" applyFont="1" applyFill="1" applyBorder="1" applyAlignment="1">
      <alignment horizontal="left" vertical="center" wrapText="1"/>
      <protection/>
    </xf>
    <xf numFmtId="2" fontId="51" fillId="41" borderId="16" xfId="0" applyNumberFormat="1" applyFont="1" applyFill="1" applyBorder="1" applyAlignment="1">
      <alignment horizontal="center" vertical="center" wrapText="1"/>
    </xf>
    <xf numFmtId="3" fontId="35" fillId="41" borderId="16" xfId="0" applyNumberFormat="1" applyFont="1" applyFill="1" applyBorder="1" applyAlignment="1">
      <alignment horizontal="center" vertical="center" wrapText="1"/>
    </xf>
    <xf numFmtId="194" fontId="35" fillId="41" borderId="16" xfId="0" applyNumberFormat="1" applyFont="1" applyFill="1" applyBorder="1" applyAlignment="1">
      <alignment horizontal="center" vertical="center" wrapText="1"/>
    </xf>
    <xf numFmtId="49" fontId="53" fillId="40" borderId="0" xfId="0" applyNumberFormat="1" applyFont="1" applyFill="1" applyAlignment="1">
      <alignment vertical="center" wrapText="1"/>
    </xf>
    <xf numFmtId="0" fontId="0" fillId="0" borderId="0" xfId="0" applyAlignment="1">
      <alignment horizontal="right" vertical="center"/>
    </xf>
    <xf numFmtId="3" fontId="6" fillId="40" borderId="17" xfId="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6" fillId="40" borderId="0" xfId="0" applyFont="1" applyFill="1" applyAlignment="1">
      <alignment horizontal="right"/>
    </xf>
    <xf numFmtId="3" fontId="87" fillId="0" borderId="0" xfId="0" applyNumberFormat="1" applyFont="1" applyFill="1" applyAlignment="1">
      <alignment vertical="center"/>
    </xf>
    <xf numFmtId="0" fontId="88" fillId="0" borderId="0" xfId="0" applyFont="1" applyFill="1" applyAlignment="1">
      <alignment/>
    </xf>
    <xf numFmtId="0" fontId="87" fillId="0" borderId="0" xfId="0" applyFont="1" applyFill="1" applyAlignment="1">
      <alignment/>
    </xf>
    <xf numFmtId="3" fontId="87" fillId="0" borderId="0" xfId="0" applyNumberFormat="1" applyFont="1" applyFill="1" applyAlignment="1">
      <alignment/>
    </xf>
    <xf numFmtId="3" fontId="88" fillId="0" borderId="0" xfId="0" applyNumberFormat="1" applyFont="1" applyFill="1" applyAlignment="1">
      <alignment/>
    </xf>
    <xf numFmtId="0" fontId="87" fillId="0" borderId="0" xfId="0" applyFont="1" applyFill="1" applyAlignment="1">
      <alignment vertical="center"/>
    </xf>
    <xf numFmtId="4" fontId="88" fillId="0" borderId="0" xfId="0" applyNumberFormat="1" applyFont="1" applyFill="1" applyAlignment="1">
      <alignment/>
    </xf>
    <xf numFmtId="4" fontId="87" fillId="0" borderId="0" xfId="0" applyNumberFormat="1" applyFont="1" applyFill="1" applyAlignment="1">
      <alignment/>
    </xf>
    <xf numFmtId="4" fontId="89" fillId="0" borderId="0" xfId="0" applyNumberFormat="1" applyFont="1" applyFill="1" applyBorder="1" applyAlignment="1">
      <alignment/>
    </xf>
    <xf numFmtId="4" fontId="88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 vertical="center" wrapText="1"/>
    </xf>
    <xf numFmtId="3" fontId="88" fillId="0" borderId="0" xfId="0" applyNumberFormat="1" applyFont="1" applyFill="1" applyBorder="1" applyAlignment="1">
      <alignment/>
    </xf>
    <xf numFmtId="0" fontId="4" fillId="41" borderId="16" xfId="0" applyFont="1" applyFill="1" applyBorder="1" applyAlignment="1">
      <alignment horizontal="center" vertical="center" wrapText="1"/>
    </xf>
    <xf numFmtId="3" fontId="4" fillId="41" borderId="16" xfId="0" applyNumberFormat="1" applyFont="1" applyFill="1" applyBorder="1" applyAlignment="1">
      <alignment horizontal="center" vertical="center"/>
    </xf>
    <xf numFmtId="0" fontId="6" fillId="41" borderId="0" xfId="0" applyNumberFormat="1" applyFont="1" applyFill="1" applyAlignment="1" applyProtection="1">
      <alignment horizontal="center" vertical="center"/>
      <protection/>
    </xf>
    <xf numFmtId="0" fontId="6" fillId="41" borderId="0" xfId="0" applyNumberFormat="1" applyFont="1" applyFill="1" applyBorder="1" applyAlignment="1" applyProtection="1">
      <alignment horizontal="left" vertical="center" wrapText="1"/>
      <protection/>
    </xf>
    <xf numFmtId="0" fontId="35" fillId="41" borderId="0" xfId="0" applyNumberFormat="1" applyFont="1" applyFill="1" applyAlignment="1" applyProtection="1">
      <alignment horizontal="left" vertical="center" wrapText="1"/>
      <protection/>
    </xf>
    <xf numFmtId="3" fontId="4" fillId="0" borderId="0" xfId="0" applyNumberFormat="1" applyFont="1" applyFill="1" applyAlignment="1">
      <alignment/>
    </xf>
    <xf numFmtId="0" fontId="6" fillId="41" borderId="0" xfId="0" applyNumberFormat="1" applyFont="1" applyFill="1" applyAlignment="1" applyProtection="1">
      <alignment horizontal="left" vertical="center" wrapText="1"/>
      <protection/>
    </xf>
    <xf numFmtId="0" fontId="2" fillId="41" borderId="0" xfId="0" applyNumberFormat="1" applyFont="1" applyFill="1" applyBorder="1" applyAlignment="1" applyProtection="1">
      <alignment horizontal="center" vertical="center" wrapText="1"/>
      <protection/>
    </xf>
    <xf numFmtId="0" fontId="6" fillId="41" borderId="0" xfId="0" applyFont="1" applyFill="1" applyAlignment="1">
      <alignment horizontal="center" vertical="center"/>
    </xf>
    <xf numFmtId="0" fontId="6" fillId="41" borderId="0" xfId="0" applyFont="1" applyFill="1" applyAlignment="1">
      <alignment horizontal="right"/>
    </xf>
    <xf numFmtId="194" fontId="4" fillId="41" borderId="16" xfId="82" applyNumberFormat="1" applyFont="1" applyFill="1" applyBorder="1" applyAlignment="1">
      <alignment horizontal="left" vertical="center"/>
      <protection/>
    </xf>
    <xf numFmtId="3" fontId="4" fillId="41" borderId="16" xfId="82" applyNumberFormat="1" applyFont="1" applyFill="1" applyBorder="1" applyAlignment="1">
      <alignment horizontal="left" vertical="center"/>
      <protection/>
    </xf>
    <xf numFmtId="3" fontId="4" fillId="41" borderId="16" xfId="82" applyNumberFormat="1" applyFont="1" applyFill="1" applyBorder="1" applyAlignment="1">
      <alignment horizontal="center" vertical="center"/>
      <protection/>
    </xf>
    <xf numFmtId="194" fontId="7" fillId="41" borderId="16" xfId="82" applyNumberFormat="1" applyFont="1" applyFill="1" applyBorder="1" applyAlignment="1">
      <alignment horizontal="left" vertical="center"/>
      <protection/>
    </xf>
    <xf numFmtId="3" fontId="7" fillId="41" borderId="16" xfId="82" applyNumberFormat="1" applyFont="1" applyFill="1" applyBorder="1" applyAlignment="1">
      <alignment horizontal="left" vertical="center"/>
      <protection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3" fontId="6" fillId="41" borderId="16" xfId="82" applyNumberFormat="1" applyFont="1" applyFill="1" applyBorder="1" applyAlignment="1">
      <alignment horizontal="center" vertical="center"/>
      <protection/>
    </xf>
    <xf numFmtId="3" fontId="6" fillId="41" borderId="16" xfId="0" applyNumberFormat="1" applyFont="1" applyFill="1" applyBorder="1" applyAlignment="1">
      <alignment horizontal="center" vertical="center"/>
    </xf>
    <xf numFmtId="3" fontId="6" fillId="41" borderId="16" xfId="0" applyNumberFormat="1" applyFont="1" applyFill="1" applyBorder="1" applyAlignment="1">
      <alignment horizontal="center" vertical="center" wrapText="1"/>
    </xf>
    <xf numFmtId="49" fontId="6" fillId="41" borderId="16" xfId="0" applyNumberFormat="1" applyFont="1" applyFill="1" applyBorder="1" applyAlignment="1" applyProtection="1">
      <alignment horizontal="center" vertical="center" wrapText="1"/>
      <protection/>
    </xf>
    <xf numFmtId="0" fontId="6" fillId="41" borderId="16" xfId="0" applyFont="1" applyFill="1" applyBorder="1" applyAlignment="1">
      <alignment horizontal="left" vertical="center"/>
    </xf>
    <xf numFmtId="3" fontId="6" fillId="41" borderId="16" xfId="82" applyNumberFormat="1" applyFont="1" applyFill="1" applyBorder="1" applyAlignment="1">
      <alignment horizontal="center" vertical="center" wrapText="1"/>
      <protection/>
    </xf>
    <xf numFmtId="3" fontId="8" fillId="41" borderId="16" xfId="82" applyNumberFormat="1" applyFont="1" applyFill="1" applyBorder="1" applyAlignment="1">
      <alignment horizontal="center" vertical="center"/>
      <protection/>
    </xf>
    <xf numFmtId="194" fontId="4" fillId="41" borderId="16" xfId="0" applyNumberFormat="1" applyFont="1" applyFill="1" applyBorder="1" applyAlignment="1">
      <alignment horizontal="left" vertical="center"/>
    </xf>
    <xf numFmtId="3" fontId="4" fillId="41" borderId="16" xfId="82" applyNumberFormat="1" applyFont="1" applyFill="1" applyBorder="1" applyAlignment="1">
      <alignment horizontal="center" vertical="center" wrapText="1"/>
      <protection/>
    </xf>
    <xf numFmtId="0" fontId="6" fillId="41" borderId="0" xfId="0" applyFont="1" applyFill="1" applyAlignment="1">
      <alignment vertical="center"/>
    </xf>
    <xf numFmtId="49" fontId="6" fillId="41" borderId="16" xfId="0" applyNumberFormat="1" applyFont="1" applyFill="1" applyBorder="1" applyAlignment="1">
      <alignment horizontal="left" vertical="center" wrapText="1"/>
    </xf>
    <xf numFmtId="0" fontId="6" fillId="41" borderId="16" xfId="90" applyFont="1" applyFill="1" applyBorder="1" applyAlignment="1">
      <alignment horizontal="left" vertical="center" wrapText="1"/>
      <protection/>
    </xf>
    <xf numFmtId="49" fontId="6" fillId="41" borderId="16" xfId="90" applyNumberFormat="1" applyFont="1" applyFill="1" applyBorder="1" applyAlignment="1">
      <alignment horizontal="center" vertical="center"/>
      <protection/>
    </xf>
    <xf numFmtId="49" fontId="6" fillId="41" borderId="16" xfId="90" applyNumberFormat="1" applyFont="1" applyFill="1" applyBorder="1" applyAlignment="1" applyProtection="1">
      <alignment horizontal="center" vertical="center" wrapText="1"/>
      <protection/>
    </xf>
    <xf numFmtId="194" fontId="6" fillId="41" borderId="16" xfId="82" applyNumberFormat="1" applyFont="1" applyFill="1" applyBorder="1" applyAlignment="1" applyProtection="1">
      <alignment horizontal="left" vertical="center" wrapText="1"/>
      <protection locked="0"/>
    </xf>
    <xf numFmtId="0" fontId="6" fillId="41" borderId="16" xfId="0" applyNumberFormat="1" applyFont="1" applyFill="1" applyBorder="1" applyAlignment="1">
      <alignment horizontal="left" vertical="center" wrapText="1"/>
    </xf>
    <xf numFmtId="3" fontId="6" fillId="40" borderId="0" xfId="0" applyNumberFormat="1" applyFont="1" applyFill="1" applyBorder="1" applyAlignment="1" applyProtection="1">
      <alignment horizontal="center" vertical="center" wrapText="1"/>
      <protection/>
    </xf>
    <xf numFmtId="0" fontId="6" fillId="41" borderId="16" xfId="95" applyFont="1" applyFill="1" applyBorder="1" applyAlignment="1" applyProtection="1">
      <alignment horizontal="left" vertical="center" wrapText="1"/>
      <protection/>
    </xf>
    <xf numFmtId="0" fontId="35" fillId="41" borderId="16" xfId="95" applyFont="1" applyFill="1" applyBorder="1" applyAlignment="1" applyProtection="1">
      <alignment horizontal="left" vertical="center" wrapText="1"/>
      <protection/>
    </xf>
    <xf numFmtId="0" fontId="35" fillId="41" borderId="16" xfId="79" applyFont="1" applyFill="1" applyBorder="1" applyAlignment="1">
      <alignment vertical="top" wrapText="1"/>
      <protection/>
    </xf>
    <xf numFmtId="0" fontId="6" fillId="41" borderId="0" xfId="0" applyNumberFormat="1" applyFont="1" applyFill="1" applyAlignment="1" applyProtection="1">
      <alignment/>
      <protection/>
    </xf>
    <xf numFmtId="0" fontId="35" fillId="41" borderId="0" xfId="0" applyNumberFormat="1" applyFont="1" applyFill="1" applyAlignment="1" applyProtection="1">
      <alignment/>
      <protection/>
    </xf>
    <xf numFmtId="0" fontId="35" fillId="41" borderId="0" xfId="0" applyNumberFormat="1" applyFont="1" applyFill="1" applyAlignment="1" applyProtection="1">
      <alignment vertical="center" wrapText="1"/>
      <protection/>
    </xf>
    <xf numFmtId="194" fontId="35" fillId="41" borderId="0" xfId="0" applyNumberFormat="1" applyFont="1" applyFill="1" applyAlignment="1" applyProtection="1">
      <alignment horizontal="center" vertical="center"/>
      <protection/>
    </xf>
    <xf numFmtId="0" fontId="2" fillId="41" borderId="0" xfId="0" applyNumberFormat="1" applyFont="1" applyFill="1" applyBorder="1" applyAlignment="1" applyProtection="1">
      <alignment horizontal="center"/>
      <protection/>
    </xf>
    <xf numFmtId="0" fontId="35" fillId="41" borderId="0" xfId="0" applyFont="1" applyFill="1" applyBorder="1" applyAlignment="1">
      <alignment horizontal="center"/>
    </xf>
    <xf numFmtId="0" fontId="35" fillId="41" borderId="0" xfId="0" applyFont="1" applyFill="1" applyAlignment="1">
      <alignment vertical="center"/>
    </xf>
    <xf numFmtId="3" fontId="35" fillId="41" borderId="0" xfId="0" applyNumberFormat="1" applyFont="1" applyFill="1" applyBorder="1" applyAlignment="1">
      <alignment horizontal="right" vertical="center" wrapText="1"/>
    </xf>
    <xf numFmtId="194" fontId="2" fillId="41" borderId="0" xfId="0" applyNumberFormat="1" applyFont="1" applyFill="1" applyBorder="1" applyAlignment="1" applyProtection="1">
      <alignment horizontal="center" vertical="center" wrapText="1"/>
      <protection/>
    </xf>
    <xf numFmtId="194" fontId="35" fillId="41" borderId="0" xfId="0" applyNumberFormat="1" applyFont="1" applyFill="1" applyBorder="1" applyAlignment="1">
      <alignment horizontal="center" vertical="center" wrapText="1"/>
    </xf>
    <xf numFmtId="0" fontId="6" fillId="41" borderId="0" xfId="0" applyNumberFormat="1" applyFont="1" applyFill="1" applyBorder="1" applyAlignment="1" applyProtection="1">
      <alignment/>
      <protection/>
    </xf>
    <xf numFmtId="0" fontId="2" fillId="41" borderId="16" xfId="0" applyNumberFormat="1" applyFont="1" applyFill="1" applyBorder="1" applyAlignment="1" applyProtection="1">
      <alignment horizontal="center" vertical="center" wrapText="1"/>
      <protection/>
    </xf>
    <xf numFmtId="1" fontId="6" fillId="41" borderId="0" xfId="0" applyNumberFormat="1" applyFont="1" applyFill="1" applyBorder="1" applyAlignment="1" applyProtection="1">
      <alignment/>
      <protection/>
    </xf>
    <xf numFmtId="1" fontId="35" fillId="41" borderId="16" xfId="0" applyNumberFormat="1" applyFont="1" applyFill="1" applyBorder="1" applyAlignment="1" applyProtection="1">
      <alignment horizontal="center" vertical="center" wrapText="1"/>
      <protection/>
    </xf>
    <xf numFmtId="3" fontId="35" fillId="41" borderId="16" xfId="0" applyNumberFormat="1" applyFont="1" applyFill="1" applyBorder="1" applyAlignment="1" applyProtection="1">
      <alignment horizontal="center" vertical="center" wrapText="1"/>
      <protection/>
    </xf>
    <xf numFmtId="194" fontId="35" fillId="41" borderId="16" xfId="0" applyNumberFormat="1" applyFont="1" applyFill="1" applyBorder="1" applyAlignment="1" applyProtection="1">
      <alignment horizontal="center" vertical="center" wrapText="1"/>
      <protection/>
    </xf>
    <xf numFmtId="194" fontId="35" fillId="41" borderId="25" xfId="0" applyNumberFormat="1" applyFont="1" applyFill="1" applyBorder="1" applyAlignment="1" applyProtection="1">
      <alignment horizontal="center" vertical="center" wrapText="1"/>
      <protection/>
    </xf>
    <xf numFmtId="1" fontId="6" fillId="41" borderId="0" xfId="0" applyNumberFormat="1" applyFont="1" applyFill="1" applyAlignment="1">
      <alignment/>
    </xf>
    <xf numFmtId="49" fontId="2" fillId="44" borderId="22" xfId="0" applyNumberFormat="1" applyFont="1" applyFill="1" applyBorder="1" applyAlignment="1">
      <alignment horizontal="center" vertical="center"/>
    </xf>
    <xf numFmtId="49" fontId="2" fillId="44" borderId="22" xfId="0" applyNumberFormat="1" applyFont="1" applyFill="1" applyBorder="1" applyAlignment="1">
      <alignment horizontal="center" vertical="center" wrapText="1"/>
    </xf>
    <xf numFmtId="194" fontId="2" fillId="44" borderId="22" xfId="0" applyNumberFormat="1" applyFont="1" applyFill="1" applyBorder="1" applyAlignment="1">
      <alignment horizontal="left" vertical="center" wrapText="1"/>
    </xf>
    <xf numFmtId="194" fontId="2" fillId="44" borderId="22" xfId="82" applyNumberFormat="1" applyFont="1" applyFill="1" applyBorder="1" applyAlignment="1">
      <alignment horizontal="left" vertical="center"/>
      <protection/>
    </xf>
    <xf numFmtId="194" fontId="2" fillId="44" borderId="22" xfId="82" applyNumberFormat="1" applyFont="1" applyFill="1" applyBorder="1" applyAlignment="1">
      <alignment horizontal="center" vertical="center"/>
      <protection/>
    </xf>
    <xf numFmtId="3" fontId="2" fillId="44" borderId="22" xfId="82" applyNumberFormat="1" applyFont="1" applyFill="1" applyBorder="1" applyAlignment="1">
      <alignment horizontal="center" vertical="center" wrapText="1"/>
      <protection/>
    </xf>
    <xf numFmtId="194" fontId="2" fillId="44" borderId="22" xfId="82" applyNumberFormat="1" applyFont="1" applyFill="1" applyBorder="1" applyAlignment="1">
      <alignment horizontal="center" vertical="center" wrapText="1"/>
      <protection/>
    </xf>
    <xf numFmtId="194" fontId="2" fillId="44" borderId="23" xfId="82" applyNumberFormat="1" applyFont="1" applyFill="1" applyBorder="1" applyAlignment="1">
      <alignment horizontal="center" vertical="center" wrapText="1"/>
      <protection/>
    </xf>
    <xf numFmtId="217" fontId="2" fillId="44" borderId="22" xfId="82" applyNumberFormat="1" applyFont="1" applyFill="1" applyBorder="1" applyAlignment="1">
      <alignment horizontal="center" vertical="center" wrapText="1"/>
      <protection/>
    </xf>
    <xf numFmtId="0" fontId="2" fillId="44" borderId="22" xfId="0" applyFont="1" applyFill="1" applyBorder="1" applyAlignment="1">
      <alignment horizontal="left" vertical="center" wrapText="1"/>
    </xf>
    <xf numFmtId="194" fontId="2" fillId="44" borderId="21" xfId="82" applyNumberFormat="1" applyFont="1" applyFill="1" applyBorder="1" applyAlignment="1">
      <alignment horizontal="left" vertical="center"/>
      <protection/>
    </xf>
    <xf numFmtId="194" fontId="2" fillId="44" borderId="21" xfId="82" applyNumberFormat="1" applyFont="1" applyFill="1" applyBorder="1" applyAlignment="1">
      <alignment horizontal="center" vertical="center"/>
      <protection/>
    </xf>
    <xf numFmtId="49" fontId="35" fillId="44" borderId="22" xfId="0" applyNumberFormat="1" applyFont="1" applyFill="1" applyBorder="1" applyAlignment="1">
      <alignment horizontal="center" vertical="center"/>
    </xf>
    <xf numFmtId="49" fontId="35" fillId="44" borderId="22" xfId="0" applyNumberFormat="1" applyFont="1" applyFill="1" applyBorder="1" applyAlignment="1">
      <alignment horizontal="center" vertical="center" wrapText="1"/>
    </xf>
    <xf numFmtId="0" fontId="35" fillId="44" borderId="23" xfId="0" applyFont="1" applyFill="1" applyBorder="1" applyAlignment="1">
      <alignment horizontal="left" vertical="center" wrapText="1"/>
    </xf>
    <xf numFmtId="1" fontId="35" fillId="44" borderId="16" xfId="91" applyNumberFormat="1" applyFont="1" applyFill="1" applyBorder="1" applyAlignment="1">
      <alignment horizontal="left" vertical="center" wrapText="1"/>
      <protection/>
    </xf>
    <xf numFmtId="194" fontId="2" fillId="44" borderId="16" xfId="82" applyNumberFormat="1" applyFont="1" applyFill="1" applyBorder="1" applyAlignment="1">
      <alignment horizontal="center" vertical="center"/>
      <protection/>
    </xf>
    <xf numFmtId="194" fontId="35" fillId="44" borderId="27" xfId="82" applyNumberFormat="1" applyFont="1" applyFill="1" applyBorder="1" applyAlignment="1">
      <alignment horizontal="center" vertical="center" wrapText="1"/>
      <protection/>
    </xf>
    <xf numFmtId="0" fontId="35" fillId="44" borderId="22" xfId="0" applyFont="1" applyFill="1" applyBorder="1" applyAlignment="1">
      <alignment horizontal="left" vertical="center" wrapText="1"/>
    </xf>
    <xf numFmtId="1" fontId="35" fillId="44" borderId="28" xfId="91" applyNumberFormat="1" applyFont="1" applyFill="1" applyBorder="1" applyAlignment="1">
      <alignment horizontal="left" vertical="center" wrapText="1"/>
      <protection/>
    </xf>
    <xf numFmtId="49" fontId="2" fillId="41" borderId="29" xfId="0" applyNumberFormat="1" applyFont="1" applyFill="1" applyBorder="1" applyAlignment="1">
      <alignment horizontal="center" vertical="center" wrapText="1"/>
    </xf>
    <xf numFmtId="3" fontId="35" fillId="41" borderId="29" xfId="0" applyNumberFormat="1" applyFont="1" applyFill="1" applyBorder="1" applyAlignment="1">
      <alignment horizontal="center" vertical="center" wrapText="1"/>
    </xf>
    <xf numFmtId="194" fontId="35" fillId="41" borderId="29" xfId="0" applyNumberFormat="1" applyFont="1" applyFill="1" applyBorder="1" applyAlignment="1">
      <alignment horizontal="center" vertical="center" wrapText="1"/>
    </xf>
    <xf numFmtId="3" fontId="51" fillId="41" borderId="29" xfId="0" applyNumberFormat="1" applyFont="1" applyFill="1" applyBorder="1" applyAlignment="1">
      <alignment horizontal="center" vertical="center" wrapText="1"/>
    </xf>
    <xf numFmtId="194" fontId="35" fillId="41" borderId="23" xfId="0" applyNumberFormat="1" applyFont="1" applyFill="1" applyBorder="1" applyAlignment="1">
      <alignment horizontal="center" vertical="center"/>
    </xf>
    <xf numFmtId="0" fontId="35" fillId="44" borderId="21" xfId="0" applyFont="1" applyFill="1" applyBorder="1" applyAlignment="1">
      <alignment horizontal="left" wrapText="1"/>
    </xf>
    <xf numFmtId="2" fontId="2" fillId="41" borderId="0" xfId="0" applyNumberFormat="1" applyFont="1" applyFill="1" applyBorder="1" applyAlignment="1">
      <alignment horizontal="center" vertical="center" wrapText="1"/>
    </xf>
    <xf numFmtId="3" fontId="35" fillId="41" borderId="21" xfId="0" applyNumberFormat="1" applyFont="1" applyFill="1" applyBorder="1" applyAlignment="1">
      <alignment horizontal="center" vertical="center" wrapText="1"/>
    </xf>
    <xf numFmtId="194" fontId="35" fillId="41" borderId="22" xfId="0" applyNumberFormat="1" applyFont="1" applyFill="1" applyBorder="1" applyAlignment="1">
      <alignment horizontal="center" vertical="center" wrapText="1"/>
    </xf>
    <xf numFmtId="3" fontId="51" fillId="41" borderId="22" xfId="0" applyNumberFormat="1" applyFont="1" applyFill="1" applyBorder="1" applyAlignment="1">
      <alignment horizontal="center" vertical="center" wrapText="1"/>
    </xf>
    <xf numFmtId="194" fontId="35" fillId="44" borderId="23" xfId="82" applyNumberFormat="1" applyFont="1" applyFill="1" applyBorder="1" applyAlignment="1">
      <alignment horizontal="center" vertical="center" wrapText="1"/>
      <protection/>
    </xf>
    <xf numFmtId="0" fontId="35" fillId="44" borderId="22" xfId="0" applyFont="1" applyFill="1" applyBorder="1" applyAlignment="1">
      <alignment horizontal="center" vertical="center" wrapText="1"/>
    </xf>
    <xf numFmtId="217" fontId="35" fillId="44" borderId="22" xfId="82" applyNumberFormat="1" applyFont="1" applyFill="1" applyBorder="1" applyAlignment="1">
      <alignment horizontal="center" vertical="center" wrapText="1"/>
      <protection/>
    </xf>
    <xf numFmtId="49" fontId="2" fillId="44" borderId="22" xfId="96" applyNumberFormat="1" applyFont="1" applyFill="1" applyBorder="1" applyAlignment="1">
      <alignment horizontal="center" vertical="center" wrapText="1"/>
      <protection/>
    </xf>
    <xf numFmtId="49" fontId="35" fillId="44" borderId="22" xfId="96" applyNumberFormat="1" applyFont="1" applyFill="1" applyBorder="1" applyAlignment="1">
      <alignment horizontal="center" vertical="center" wrapText="1"/>
      <protection/>
    </xf>
    <xf numFmtId="1" fontId="35" fillId="44" borderId="21" xfId="91" applyNumberFormat="1" applyFont="1" applyFill="1" applyBorder="1" applyAlignment="1">
      <alignment horizontal="left" vertical="center" wrapText="1"/>
      <protection/>
    </xf>
    <xf numFmtId="1" fontId="35" fillId="44" borderId="21" xfId="90" applyNumberFormat="1" applyFont="1" applyFill="1" applyBorder="1" applyAlignment="1" applyProtection="1">
      <alignment horizontal="center" vertical="center" wrapText="1"/>
      <protection/>
    </xf>
    <xf numFmtId="3" fontId="35" fillId="41" borderId="22" xfId="0" applyNumberFormat="1" applyFont="1" applyFill="1" applyBorder="1" applyAlignment="1">
      <alignment horizontal="center" vertical="center" wrapText="1"/>
    </xf>
    <xf numFmtId="194" fontId="35" fillId="44" borderId="23" xfId="0" applyNumberFormat="1" applyFont="1" applyFill="1" applyBorder="1" applyAlignment="1" applyProtection="1">
      <alignment horizontal="center" vertical="center" wrapText="1"/>
      <protection/>
    </xf>
    <xf numFmtId="3" fontId="35" fillId="44" borderId="22" xfId="0" applyNumberFormat="1" applyFont="1" applyFill="1" applyBorder="1" applyAlignment="1">
      <alignment horizontal="center" vertical="center" wrapText="1"/>
    </xf>
    <xf numFmtId="194" fontId="35" fillId="44" borderId="22" xfId="0" applyNumberFormat="1" applyFont="1" applyFill="1" applyBorder="1" applyAlignment="1">
      <alignment horizontal="center" vertical="center" wrapText="1"/>
    </xf>
    <xf numFmtId="1" fontId="51" fillId="44" borderId="21" xfId="90" applyNumberFormat="1" applyFont="1" applyFill="1" applyBorder="1" applyAlignment="1" applyProtection="1">
      <alignment horizontal="center" vertical="center" wrapText="1"/>
      <protection/>
    </xf>
    <xf numFmtId="1" fontId="35" fillId="41" borderId="20" xfId="0" applyNumberFormat="1" applyFont="1" applyFill="1" applyBorder="1" applyAlignment="1">
      <alignment horizontal="left" vertical="center" wrapText="1"/>
    </xf>
    <xf numFmtId="194" fontId="2" fillId="44" borderId="23" xfId="0" applyNumberFormat="1" applyFont="1" applyFill="1" applyBorder="1" applyAlignment="1">
      <alignment horizontal="center" vertical="center" wrapText="1"/>
    </xf>
    <xf numFmtId="0" fontId="35" fillId="44" borderId="22" xfId="95" applyFont="1" applyFill="1" applyBorder="1" applyAlignment="1">
      <alignment horizontal="left" vertical="center" wrapText="1"/>
      <protection/>
    </xf>
    <xf numFmtId="194" fontId="2" fillId="41" borderId="22" xfId="0" applyNumberFormat="1" applyFont="1" applyFill="1" applyBorder="1" applyAlignment="1">
      <alignment horizontal="center" vertical="center" wrapText="1"/>
    </xf>
    <xf numFmtId="1" fontId="32" fillId="41" borderId="0" xfId="0" applyNumberFormat="1" applyFont="1" applyFill="1" applyAlignment="1">
      <alignment/>
    </xf>
    <xf numFmtId="49" fontId="35" fillId="44" borderId="23" xfId="0" applyNumberFormat="1" applyFont="1" applyFill="1" applyBorder="1" applyAlignment="1">
      <alignment horizontal="center" vertical="center" wrapText="1"/>
    </xf>
    <xf numFmtId="1" fontId="51" fillId="44" borderId="16" xfId="90" applyNumberFormat="1" applyFont="1" applyFill="1" applyBorder="1" applyAlignment="1" applyProtection="1">
      <alignment horizontal="center" vertical="center" wrapText="1"/>
      <protection/>
    </xf>
    <xf numFmtId="1" fontId="35" fillId="44" borderId="16" xfId="90" applyNumberFormat="1" applyFont="1" applyFill="1" applyBorder="1" applyAlignment="1" applyProtection="1">
      <alignment horizontal="center" vertical="center" wrapText="1"/>
      <protection/>
    </xf>
    <xf numFmtId="194" fontId="2" fillId="41" borderId="30" xfId="0" applyNumberFormat="1" applyFont="1" applyFill="1" applyBorder="1" applyAlignment="1">
      <alignment horizontal="center" vertical="center" wrapText="1"/>
    </xf>
    <xf numFmtId="49" fontId="35" fillId="44" borderId="21" xfId="0" applyNumberFormat="1" applyFont="1" applyFill="1" applyBorder="1" applyAlignment="1">
      <alignment horizontal="center" vertical="center" wrapText="1"/>
    </xf>
    <xf numFmtId="194" fontId="35" fillId="44" borderId="27" xfId="0" applyNumberFormat="1" applyFont="1" applyFill="1" applyBorder="1" applyAlignment="1">
      <alignment horizontal="center" vertical="center" wrapText="1"/>
    </xf>
    <xf numFmtId="49" fontId="35" fillId="44" borderId="16" xfId="0" applyNumberFormat="1" applyFont="1" applyFill="1" applyBorder="1" applyAlignment="1">
      <alignment horizontal="center" vertical="center" wrapText="1"/>
    </xf>
    <xf numFmtId="49" fontId="2" fillId="44" borderId="23" xfId="0" applyNumberFormat="1" applyFont="1" applyFill="1" applyBorder="1" applyAlignment="1">
      <alignment horizontal="center" vertical="center"/>
    </xf>
    <xf numFmtId="49" fontId="2" fillId="44" borderId="16" xfId="96" applyNumberFormat="1" applyFont="1" applyFill="1" applyBorder="1" applyAlignment="1">
      <alignment horizontal="center" vertical="center"/>
      <protection/>
    </xf>
    <xf numFmtId="0" fontId="2" fillId="44" borderId="25" xfId="0" applyFont="1" applyFill="1" applyBorder="1" applyAlignment="1">
      <alignment horizontal="left" vertical="center" wrapText="1"/>
    </xf>
    <xf numFmtId="1" fontId="6" fillId="41" borderId="0" xfId="0" applyNumberFormat="1" applyFont="1" applyFill="1" applyBorder="1" applyAlignment="1">
      <alignment/>
    </xf>
    <xf numFmtId="49" fontId="35" fillId="44" borderId="29" xfId="96" applyNumberFormat="1" applyFont="1" applyFill="1" applyBorder="1" applyAlignment="1">
      <alignment horizontal="center" vertical="center"/>
      <protection/>
    </xf>
    <xf numFmtId="0" fontId="35" fillId="44" borderId="31" xfId="0" applyFont="1" applyFill="1" applyBorder="1" applyAlignment="1">
      <alignment horizontal="left" vertical="center" wrapText="1"/>
    </xf>
    <xf numFmtId="49" fontId="35" fillId="44" borderId="21" xfId="0" applyNumberFormat="1" applyFont="1" applyFill="1" applyBorder="1" applyAlignment="1">
      <alignment horizontal="center" vertical="center"/>
    </xf>
    <xf numFmtId="49" fontId="35" fillId="44" borderId="21" xfId="96" applyNumberFormat="1" applyFont="1" applyFill="1" applyBorder="1" applyAlignment="1">
      <alignment horizontal="center" vertical="center"/>
      <protection/>
    </xf>
    <xf numFmtId="0" fontId="35" fillId="44" borderId="32" xfId="0" applyFont="1" applyFill="1" applyBorder="1" applyAlignment="1">
      <alignment horizontal="left" vertical="center" wrapText="1"/>
    </xf>
    <xf numFmtId="194" fontId="35" fillId="44" borderId="33" xfId="0" applyNumberFormat="1" applyFont="1" applyFill="1" applyBorder="1" applyAlignment="1">
      <alignment horizontal="center" vertical="center" wrapText="1"/>
    </xf>
    <xf numFmtId="194" fontId="35" fillId="44" borderId="34" xfId="0" applyNumberFormat="1" applyFont="1" applyFill="1" applyBorder="1" applyAlignment="1">
      <alignment horizontal="center" vertical="center" wrapText="1"/>
    </xf>
    <xf numFmtId="0" fontId="35" fillId="44" borderId="21" xfId="0" applyFont="1" applyFill="1" applyBorder="1" applyAlignment="1">
      <alignment horizontal="left" vertical="center" wrapText="1"/>
    </xf>
    <xf numFmtId="2" fontId="51" fillId="41" borderId="29" xfId="0" applyNumberFormat="1" applyFont="1" applyFill="1" applyBorder="1" applyAlignment="1">
      <alignment horizontal="center" vertical="center" wrapText="1"/>
    </xf>
    <xf numFmtId="194" fontId="35" fillId="44" borderId="25" xfId="0" applyNumberFormat="1" applyFont="1" applyFill="1" applyBorder="1" applyAlignment="1">
      <alignment horizontal="center" vertical="center" wrapText="1"/>
    </xf>
    <xf numFmtId="194" fontId="2" fillId="41" borderId="16" xfId="82" applyNumberFormat="1" applyFont="1" applyFill="1" applyBorder="1" applyAlignment="1">
      <alignment horizontal="left" vertical="center" wrapText="1"/>
      <protection/>
    </xf>
    <xf numFmtId="3" fontId="2" fillId="41" borderId="16" xfId="82" applyNumberFormat="1" applyFont="1" applyFill="1" applyBorder="1" applyAlignment="1">
      <alignment horizontal="center" vertical="center" wrapText="1"/>
      <protection/>
    </xf>
    <xf numFmtId="194" fontId="2" fillId="41" borderId="16" xfId="82" applyNumberFormat="1" applyFont="1" applyFill="1" applyBorder="1" applyAlignment="1">
      <alignment horizontal="center" vertical="center" wrapText="1"/>
      <protection/>
    </xf>
    <xf numFmtId="194" fontId="2" fillId="41" borderId="25" xfId="82" applyNumberFormat="1" applyFont="1" applyFill="1" applyBorder="1" applyAlignment="1">
      <alignment horizontal="center" vertical="center" wrapText="1"/>
      <protection/>
    </xf>
    <xf numFmtId="194" fontId="35" fillId="41" borderId="35" xfId="0" applyNumberFormat="1" applyFont="1" applyFill="1" applyBorder="1" applyAlignment="1">
      <alignment horizontal="center" vertical="center" wrapText="1"/>
    </xf>
    <xf numFmtId="3" fontId="35" fillId="41" borderId="19" xfId="82" applyNumberFormat="1" applyFont="1" applyFill="1" applyBorder="1" applyAlignment="1">
      <alignment horizontal="center" vertical="center"/>
      <protection/>
    </xf>
    <xf numFmtId="49" fontId="35" fillId="41" borderId="16" xfId="0" applyNumberFormat="1" applyFont="1" applyFill="1" applyBorder="1" applyAlignment="1" applyProtection="1">
      <alignment horizontal="center" vertical="center" wrapText="1"/>
      <protection/>
    </xf>
    <xf numFmtId="0" fontId="35" fillId="41" borderId="17" xfId="0" applyFont="1" applyFill="1" applyBorder="1" applyAlignment="1">
      <alignment vertical="center" wrapText="1"/>
    </xf>
    <xf numFmtId="0" fontId="35" fillId="41" borderId="16" xfId="79" applyFont="1" applyFill="1" applyBorder="1" applyAlignment="1">
      <alignment horizontal="center" vertical="center" wrapText="1"/>
      <protection/>
    </xf>
    <xf numFmtId="194" fontId="35" fillId="41" borderId="16" xfId="82" applyNumberFormat="1" applyFont="1" applyFill="1" applyBorder="1" applyAlignment="1">
      <alignment horizontal="center" vertical="center" wrapText="1"/>
      <protection/>
    </xf>
    <xf numFmtId="194" fontId="35" fillId="41" borderId="25" xfId="82" applyNumberFormat="1" applyFont="1" applyFill="1" applyBorder="1" applyAlignment="1">
      <alignment horizontal="center" vertical="center" wrapText="1"/>
      <protection/>
    </xf>
    <xf numFmtId="3" fontId="6" fillId="41" borderId="0" xfId="0" applyNumberFormat="1" applyFont="1" applyFill="1" applyAlignment="1">
      <alignment/>
    </xf>
    <xf numFmtId="0" fontId="35" fillId="41" borderId="17" xfId="79" applyFont="1" applyFill="1" applyBorder="1" applyAlignment="1">
      <alignment horizontal="center" vertical="center" wrapText="1"/>
      <protection/>
    </xf>
    <xf numFmtId="194" fontId="35" fillId="41" borderId="17" xfId="82" applyNumberFormat="1" applyFont="1" applyFill="1" applyBorder="1" applyAlignment="1">
      <alignment horizontal="center" vertical="center" wrapText="1"/>
      <protection/>
    </xf>
    <xf numFmtId="3" fontId="32" fillId="41" borderId="0" xfId="0" applyNumberFormat="1" applyFont="1" applyFill="1" applyAlignment="1">
      <alignment/>
    </xf>
    <xf numFmtId="1" fontId="35" fillId="41" borderId="16" xfId="0" applyNumberFormat="1" applyFont="1" applyFill="1" applyBorder="1" applyAlignment="1">
      <alignment horizontal="left" vertical="center" wrapText="1"/>
    </xf>
    <xf numFmtId="0" fontId="35" fillId="44" borderId="29" xfId="95" applyFont="1" applyFill="1" applyBorder="1" applyAlignment="1">
      <alignment horizontal="left" vertical="center" wrapText="1"/>
      <protection/>
    </xf>
    <xf numFmtId="1" fontId="51" fillId="44" borderId="19" xfId="90" applyNumberFormat="1" applyFont="1" applyFill="1" applyBorder="1" applyAlignment="1" applyProtection="1">
      <alignment horizontal="center" vertical="center" wrapText="1"/>
      <protection/>
    </xf>
    <xf numFmtId="1" fontId="35" fillId="44" borderId="28" xfId="90" applyNumberFormat="1" applyFont="1" applyFill="1" applyBorder="1" applyAlignment="1" applyProtection="1">
      <alignment horizontal="center" vertical="center" wrapText="1"/>
      <protection/>
    </xf>
    <xf numFmtId="1" fontId="51" fillId="41" borderId="16" xfId="90" applyNumberFormat="1" applyFont="1" applyFill="1" applyBorder="1" applyAlignment="1" applyProtection="1">
      <alignment horizontal="center" vertical="center" wrapText="1"/>
      <protection/>
    </xf>
    <xf numFmtId="1" fontId="35" fillId="41" borderId="36" xfId="0" applyNumberFormat="1" applyFont="1" applyFill="1" applyBorder="1" applyAlignment="1">
      <alignment horizontal="left" vertical="center" wrapText="1"/>
    </xf>
    <xf numFmtId="1" fontId="35" fillId="44" borderId="35" xfId="90" applyNumberFormat="1" applyFont="1" applyFill="1" applyBorder="1" applyAlignment="1" applyProtection="1">
      <alignment horizontal="center" vertical="center" wrapText="1"/>
      <protection/>
    </xf>
    <xf numFmtId="49" fontId="35" fillId="41" borderId="22" xfId="0" applyNumberFormat="1" applyFont="1" applyFill="1" applyBorder="1" applyAlignment="1">
      <alignment horizontal="center" vertical="center" wrapText="1"/>
    </xf>
    <xf numFmtId="1" fontId="35" fillId="41" borderId="17" xfId="0" applyNumberFormat="1" applyFont="1" applyFill="1" applyBorder="1" applyAlignment="1">
      <alignment horizontal="left" vertical="center" wrapText="1"/>
    </xf>
    <xf numFmtId="3" fontId="35" fillId="41" borderId="30" xfId="0" applyNumberFormat="1" applyFont="1" applyFill="1" applyBorder="1" applyAlignment="1">
      <alignment horizontal="center" vertical="center" wrapText="1"/>
    </xf>
    <xf numFmtId="1" fontId="35" fillId="44" borderId="17" xfId="90" applyNumberFormat="1" applyFont="1" applyFill="1" applyBorder="1" applyAlignment="1" applyProtection="1">
      <alignment horizontal="center" vertical="center" wrapText="1"/>
      <protection/>
    </xf>
    <xf numFmtId="3" fontId="35" fillId="41" borderId="35" xfId="0" applyNumberFormat="1" applyFont="1" applyFill="1" applyBorder="1" applyAlignment="1">
      <alignment horizontal="center" vertical="center" wrapText="1"/>
    </xf>
    <xf numFmtId="194" fontId="2" fillId="41" borderId="21" xfId="0" applyNumberFormat="1" applyFont="1" applyFill="1" applyBorder="1" applyAlignment="1">
      <alignment horizontal="center" vertical="center" wrapText="1"/>
    </xf>
    <xf numFmtId="194" fontId="2" fillId="41" borderId="16" xfId="0" applyNumberFormat="1" applyFont="1" applyFill="1" applyBorder="1" applyAlignment="1">
      <alignment horizontal="left" vertical="center"/>
    </xf>
    <xf numFmtId="0" fontId="2" fillId="41" borderId="0" xfId="0" applyFont="1" applyFill="1" applyAlignment="1">
      <alignment/>
    </xf>
    <xf numFmtId="3" fontId="6" fillId="41" borderId="0" xfId="0" applyNumberFormat="1" applyFont="1" applyFill="1" applyAlignment="1" applyProtection="1">
      <alignment horizontal="right" vertical="center" wrapText="1"/>
      <protection/>
    </xf>
    <xf numFmtId="194" fontId="6" fillId="41" borderId="0" xfId="0" applyNumberFormat="1" applyFont="1" applyFill="1" applyAlignment="1" applyProtection="1">
      <alignment horizontal="center" vertical="center" wrapText="1"/>
      <protection/>
    </xf>
    <xf numFmtId="0" fontId="6" fillId="41" borderId="0" xfId="97" applyFont="1" applyFill="1" applyBorder="1" applyAlignment="1">
      <alignment horizontal="left"/>
      <protection/>
    </xf>
    <xf numFmtId="3" fontId="6" fillId="41" borderId="0" xfId="0" applyNumberFormat="1" applyFont="1" applyFill="1" applyAlignment="1">
      <alignment horizontal="right" vertical="center" wrapText="1"/>
    </xf>
    <xf numFmtId="194" fontId="6" fillId="41" borderId="0" xfId="0" applyNumberFormat="1" applyFont="1" applyFill="1" applyAlignment="1">
      <alignment horizontal="center" vertical="center"/>
    </xf>
    <xf numFmtId="3" fontId="6" fillId="41" borderId="0" xfId="0" applyNumberFormat="1" applyFont="1" applyFill="1" applyAlignment="1">
      <alignment horizontal="right" wrapText="1"/>
    </xf>
    <xf numFmtId="194" fontId="6" fillId="41" borderId="0" xfId="0" applyNumberFormat="1" applyFont="1" applyFill="1" applyAlignment="1">
      <alignment horizontal="center" vertical="center" wrapText="1"/>
    </xf>
    <xf numFmtId="0" fontId="35" fillId="41" borderId="0" xfId="0" applyFont="1" applyFill="1" applyAlignment="1">
      <alignment/>
    </xf>
    <xf numFmtId="3" fontId="6" fillId="41" borderId="0" xfId="0" applyNumberFormat="1" applyFont="1" applyFill="1" applyBorder="1" applyAlignment="1" applyProtection="1">
      <alignment horizontal="right" vertical="center" wrapText="1"/>
      <protection/>
    </xf>
    <xf numFmtId="194" fontId="6" fillId="41" borderId="0" xfId="0" applyNumberFormat="1" applyFont="1" applyFill="1" applyBorder="1" applyAlignment="1" applyProtection="1">
      <alignment horizontal="center" vertical="center" wrapText="1"/>
      <protection/>
    </xf>
    <xf numFmtId="1" fontId="35" fillId="44" borderId="32" xfId="91" applyNumberFormat="1" applyFont="1" applyFill="1" applyBorder="1" applyAlignment="1">
      <alignment horizontal="left" vertical="center" wrapText="1"/>
      <protection/>
    </xf>
    <xf numFmtId="1" fontId="35" fillId="44" borderId="16" xfId="90" applyNumberFormat="1" applyFont="1" applyFill="1" applyBorder="1" applyAlignment="1" applyProtection="1">
      <alignment vertical="center" wrapText="1"/>
      <protection/>
    </xf>
    <xf numFmtId="194" fontId="35" fillId="44" borderId="16" xfId="90" applyNumberFormat="1" applyFont="1" applyFill="1" applyBorder="1" applyAlignment="1" applyProtection="1">
      <alignment horizontal="center" vertical="center" wrapText="1"/>
      <protection/>
    </xf>
    <xf numFmtId="1" fontId="35" fillId="44" borderId="37" xfId="90" applyNumberFormat="1" applyFont="1" applyFill="1" applyBorder="1" applyAlignment="1" applyProtection="1">
      <alignment horizontal="center" vertical="center" wrapText="1"/>
      <protection/>
    </xf>
    <xf numFmtId="3" fontId="35" fillId="41" borderId="37" xfId="0" applyNumberFormat="1" applyFont="1" applyFill="1" applyBorder="1" applyAlignment="1">
      <alignment horizontal="center" vertical="center" wrapText="1"/>
    </xf>
    <xf numFmtId="3" fontId="35" fillId="44" borderId="22" xfId="82" applyNumberFormat="1" applyFont="1" applyFill="1" applyBorder="1" applyAlignment="1">
      <alignment horizontal="center" vertical="center" wrapText="1"/>
      <protection/>
    </xf>
    <xf numFmtId="1" fontId="35" fillId="44" borderId="38" xfId="90" applyNumberFormat="1" applyFont="1" applyFill="1" applyBorder="1" applyAlignment="1" applyProtection="1">
      <alignment horizontal="center" vertical="center" wrapText="1"/>
      <protection/>
    </xf>
    <xf numFmtId="3" fontId="35" fillId="41" borderId="38" xfId="0" applyNumberFormat="1" applyFont="1" applyFill="1" applyBorder="1" applyAlignment="1">
      <alignment horizontal="center" vertical="center" wrapText="1"/>
    </xf>
    <xf numFmtId="2" fontId="35" fillId="41" borderId="22" xfId="0" applyNumberFormat="1" applyFont="1" applyFill="1" applyBorder="1" applyAlignment="1">
      <alignment horizontal="center" vertical="center" wrapText="1"/>
    </xf>
    <xf numFmtId="1" fontId="35" fillId="44" borderId="21" xfId="90" applyNumberFormat="1" applyFont="1" applyFill="1" applyBorder="1" applyAlignment="1" applyProtection="1">
      <alignment vertical="center" wrapText="1"/>
      <protection/>
    </xf>
    <xf numFmtId="49" fontId="51" fillId="41" borderId="16" xfId="0" applyNumberFormat="1" applyFont="1" applyFill="1" applyBorder="1" applyAlignment="1">
      <alignment horizontal="center" vertical="center" wrapText="1"/>
    </xf>
    <xf numFmtId="0" fontId="35" fillId="44" borderId="16" xfId="0" applyFont="1" applyFill="1" applyBorder="1" applyAlignment="1">
      <alignment horizontal="center" vertical="center" wrapText="1"/>
    </xf>
    <xf numFmtId="3" fontId="35" fillId="44" borderId="16" xfId="0" applyNumberFormat="1" applyFont="1" applyFill="1" applyBorder="1" applyAlignment="1" applyProtection="1">
      <alignment horizontal="center" vertical="center" wrapText="1"/>
      <protection/>
    </xf>
    <xf numFmtId="194" fontId="35" fillId="44" borderId="16" xfId="0" applyNumberFormat="1" applyFont="1" applyFill="1" applyBorder="1" applyAlignment="1" applyProtection="1">
      <alignment horizontal="center" vertical="center" wrapText="1"/>
      <protection/>
    </xf>
    <xf numFmtId="194" fontId="4" fillId="41" borderId="19" xfId="0" applyNumberFormat="1" applyFont="1" applyFill="1" applyBorder="1" applyAlignment="1">
      <alignment horizontal="left" vertical="center" wrapText="1"/>
    </xf>
    <xf numFmtId="3" fontId="4" fillId="41" borderId="19" xfId="0" applyNumberFormat="1" applyFont="1" applyFill="1" applyBorder="1" applyAlignment="1">
      <alignment horizontal="left" vertical="center" wrapText="1"/>
    </xf>
    <xf numFmtId="3" fontId="4" fillId="41" borderId="0" xfId="0" applyNumberFormat="1" applyFont="1" applyFill="1" applyAlignment="1">
      <alignment/>
    </xf>
    <xf numFmtId="1" fontId="51" fillId="44" borderId="39" xfId="90" applyNumberFormat="1" applyFont="1" applyFill="1" applyBorder="1" applyAlignment="1" applyProtection="1">
      <alignment horizontal="left" vertical="center" wrapText="1"/>
      <protection/>
    </xf>
    <xf numFmtId="1" fontId="35" fillId="44" borderId="17" xfId="91" applyNumberFormat="1" applyFont="1" applyFill="1" applyBorder="1" applyAlignment="1">
      <alignment horizontal="left" vertical="center" wrapText="1"/>
      <protection/>
    </xf>
    <xf numFmtId="3" fontId="35" fillId="41" borderId="17" xfId="0" applyNumberFormat="1" applyFont="1" applyFill="1" applyBorder="1" applyAlignment="1">
      <alignment horizontal="center" vertical="center" wrapText="1"/>
    </xf>
    <xf numFmtId="3" fontId="51" fillId="41" borderId="21" xfId="0" applyNumberFormat="1" applyFont="1" applyFill="1" applyBorder="1" applyAlignment="1">
      <alignment horizontal="center" vertical="center" wrapText="1"/>
    </xf>
    <xf numFmtId="194" fontId="35" fillId="41" borderId="32" xfId="0" applyNumberFormat="1" applyFont="1" applyFill="1" applyBorder="1" applyAlignment="1">
      <alignment horizontal="center" vertical="center"/>
    </xf>
    <xf numFmtId="49" fontId="35" fillId="44" borderId="29" xfId="0" applyNumberFormat="1" applyFont="1" applyFill="1" applyBorder="1" applyAlignment="1">
      <alignment horizontal="center" vertical="center"/>
    </xf>
    <xf numFmtId="49" fontId="35" fillId="44" borderId="29" xfId="0" applyNumberFormat="1" applyFont="1" applyFill="1" applyBorder="1" applyAlignment="1">
      <alignment horizontal="center" vertical="center" wrapText="1"/>
    </xf>
    <xf numFmtId="0" fontId="35" fillId="44" borderId="29" xfId="0" applyFont="1" applyFill="1" applyBorder="1" applyAlignment="1">
      <alignment horizontal="left" vertical="center" wrapText="1"/>
    </xf>
    <xf numFmtId="194" fontId="35" fillId="41" borderId="19" xfId="0" applyNumberFormat="1" applyFont="1" applyFill="1" applyBorder="1" applyAlignment="1">
      <alignment horizontal="center" vertical="center" wrapText="1"/>
    </xf>
    <xf numFmtId="3" fontId="51" fillId="41" borderId="40" xfId="0" applyNumberFormat="1" applyFont="1" applyFill="1" applyBorder="1" applyAlignment="1">
      <alignment horizontal="center" vertical="center" wrapText="1"/>
    </xf>
    <xf numFmtId="194" fontId="35" fillId="41" borderId="31" xfId="0" applyNumberFormat="1" applyFont="1" applyFill="1" applyBorder="1" applyAlignment="1">
      <alignment horizontal="center" vertical="center"/>
    </xf>
    <xf numFmtId="49" fontId="35" fillId="44" borderId="16" xfId="0" applyNumberFormat="1" applyFont="1" applyFill="1" applyBorder="1" applyAlignment="1">
      <alignment horizontal="center" vertical="center"/>
    </xf>
    <xf numFmtId="0" fontId="35" fillId="44" borderId="16" xfId="0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3" fontId="6" fillId="41" borderId="16" xfId="82" applyNumberFormat="1" applyFont="1" applyFill="1" applyBorder="1" applyAlignment="1">
      <alignment horizontal="left" vertical="center" wrapText="1"/>
      <protection/>
    </xf>
    <xf numFmtId="194" fontId="6" fillId="41" borderId="16" xfId="82" applyNumberFormat="1" applyFont="1" applyFill="1" applyBorder="1" applyAlignment="1">
      <alignment horizontal="left" vertical="center" wrapText="1"/>
      <protection/>
    </xf>
    <xf numFmtId="194" fontId="6" fillId="41" borderId="19" xfId="0" applyNumberFormat="1" applyFont="1" applyFill="1" applyBorder="1" applyAlignment="1">
      <alignment horizontal="left" vertical="center" wrapText="1"/>
    </xf>
    <xf numFmtId="3" fontId="6" fillId="41" borderId="19" xfId="0" applyNumberFormat="1" applyFont="1" applyFill="1" applyBorder="1" applyAlignment="1">
      <alignment horizontal="left" vertical="center" wrapText="1"/>
    </xf>
    <xf numFmtId="0" fontId="6" fillId="41" borderId="16" xfId="82" applyNumberFormat="1" applyFont="1" applyFill="1" applyBorder="1" applyAlignment="1">
      <alignment horizontal="left" vertical="center" wrapText="1"/>
      <protection/>
    </xf>
    <xf numFmtId="3" fontId="6" fillId="41" borderId="17" xfId="82" applyNumberFormat="1" applyFont="1" applyFill="1" applyBorder="1" applyAlignment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0" fontId="0" fillId="41" borderId="16" xfId="0" applyNumberFormat="1" applyFont="1" applyFill="1" applyBorder="1" applyAlignment="1">
      <alignment horizontal="left" vertical="center" wrapText="1"/>
    </xf>
    <xf numFmtId="0" fontId="4" fillId="41" borderId="16" xfId="82" applyNumberFormat="1" applyFont="1" applyFill="1" applyBorder="1" applyAlignment="1">
      <alignment horizontal="left" vertical="center" wrapText="1"/>
      <protection/>
    </xf>
    <xf numFmtId="3" fontId="13" fillId="41" borderId="16" xfId="0" applyNumberFormat="1" applyFont="1" applyFill="1" applyBorder="1" applyAlignment="1">
      <alignment horizontal="left" vertical="center"/>
    </xf>
    <xf numFmtId="0" fontId="35" fillId="41" borderId="22" xfId="95" applyFont="1" applyFill="1" applyBorder="1" applyAlignment="1">
      <alignment horizontal="left" vertical="center" wrapText="1"/>
      <protection/>
    </xf>
    <xf numFmtId="0" fontId="4" fillId="41" borderId="16" xfId="98" applyFont="1" applyFill="1" applyBorder="1" applyAlignment="1">
      <alignment horizontal="left"/>
      <protection/>
    </xf>
    <xf numFmtId="3" fontId="2" fillId="41" borderId="0" xfId="0" applyNumberFormat="1" applyFont="1" applyFill="1" applyAlignment="1">
      <alignment/>
    </xf>
    <xf numFmtId="49" fontId="6" fillId="41" borderId="16" xfId="0" applyNumberFormat="1" applyFont="1" applyFill="1" applyBorder="1" applyAlignment="1">
      <alignment horizontal="center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3" fontId="51" fillId="41" borderId="35" xfId="0" applyNumberFormat="1" applyFont="1" applyFill="1" applyBorder="1" applyAlignment="1">
      <alignment horizontal="center" vertical="center" wrapText="1"/>
    </xf>
    <xf numFmtId="3" fontId="51" fillId="41" borderId="16" xfId="0" applyNumberFormat="1" applyFont="1" applyFill="1" applyBorder="1" applyAlignment="1">
      <alignment horizontal="center" vertical="center" wrapText="1"/>
    </xf>
    <xf numFmtId="194" fontId="35" fillId="41" borderId="16" xfId="0" applyNumberFormat="1" applyFont="1" applyFill="1" applyBorder="1" applyAlignment="1">
      <alignment horizontal="center" vertical="center"/>
    </xf>
    <xf numFmtId="194" fontId="35" fillId="41" borderId="25" xfId="0" applyNumberFormat="1" applyFont="1" applyFill="1" applyBorder="1" applyAlignment="1">
      <alignment horizontal="center" vertical="center"/>
    </xf>
    <xf numFmtId="0" fontId="90" fillId="41" borderId="16" xfId="79" applyFont="1" applyFill="1" applyBorder="1" applyAlignment="1">
      <alignment horizontal="left" vertical="top" wrapText="1"/>
      <protection/>
    </xf>
    <xf numFmtId="0" fontId="50" fillId="41" borderId="21" xfId="95" applyFont="1" applyFill="1" applyBorder="1" applyAlignment="1">
      <alignment horizontal="center" vertical="center" wrapText="1"/>
      <protection/>
    </xf>
    <xf numFmtId="49" fontId="50" fillId="41" borderId="21" xfId="0" applyNumberFormat="1" applyFont="1" applyFill="1" applyBorder="1" applyAlignment="1">
      <alignment horizontal="center" vertical="center" wrapText="1"/>
    </xf>
    <xf numFmtId="0" fontId="50" fillId="41" borderId="32" xfId="95" applyFont="1" applyFill="1" applyBorder="1" applyAlignment="1">
      <alignment horizontal="left" vertical="center" wrapText="1"/>
      <protection/>
    </xf>
    <xf numFmtId="0" fontId="90" fillId="41" borderId="17" xfId="79" applyFont="1" applyFill="1" applyBorder="1" applyAlignment="1">
      <alignment horizontal="left" vertical="top" wrapText="1"/>
      <protection/>
    </xf>
    <xf numFmtId="0" fontId="58" fillId="41" borderId="21" xfId="95" applyFont="1" applyFill="1" applyBorder="1" applyAlignment="1">
      <alignment horizontal="center" vertical="center" wrapText="1"/>
      <protection/>
    </xf>
    <xf numFmtId="1" fontId="35" fillId="41" borderId="17" xfId="0" applyNumberFormat="1" applyFont="1" applyFill="1" applyBorder="1" applyAlignment="1">
      <alignment horizontal="center" vertical="center" wrapText="1"/>
    </xf>
    <xf numFmtId="2" fontId="35" fillId="41" borderId="19" xfId="0" applyNumberFormat="1" applyFont="1" applyFill="1" applyBorder="1" applyAlignment="1">
      <alignment horizontal="center" vertical="center" wrapText="1"/>
    </xf>
    <xf numFmtId="3" fontId="35" fillId="41" borderId="19" xfId="0" applyNumberFormat="1" applyFont="1" applyFill="1" applyBorder="1" applyAlignment="1">
      <alignment horizontal="center" vertical="center" wrapText="1"/>
    </xf>
    <xf numFmtId="2" fontId="35" fillId="41" borderId="16" xfId="0" applyNumberFormat="1" applyFont="1" applyFill="1" applyBorder="1" applyAlignment="1">
      <alignment horizontal="center" vertical="center" wrapText="1"/>
    </xf>
    <xf numFmtId="1" fontId="35" fillId="41" borderId="16" xfId="0" applyNumberFormat="1" applyFont="1" applyFill="1" applyBorder="1" applyAlignment="1">
      <alignment horizontal="center" vertical="center" wrapText="1"/>
    </xf>
    <xf numFmtId="49" fontId="58" fillId="41" borderId="16" xfId="0" applyNumberFormat="1" applyFont="1" applyFill="1" applyBorder="1" applyAlignment="1">
      <alignment horizontal="center" vertical="center" wrapText="1"/>
    </xf>
    <xf numFmtId="0" fontId="58" fillId="41" borderId="16" xfId="95" applyFont="1" applyFill="1" applyBorder="1" applyAlignment="1">
      <alignment horizontal="left" vertical="center" wrapText="1"/>
      <protection/>
    </xf>
    <xf numFmtId="0" fontId="58" fillId="41" borderId="32" xfId="95" applyFont="1" applyFill="1" applyBorder="1" applyAlignment="1">
      <alignment horizontal="center" vertical="center" wrapText="1"/>
      <protection/>
    </xf>
    <xf numFmtId="49" fontId="35" fillId="44" borderId="30" xfId="0" applyNumberFormat="1" applyFont="1" applyFill="1" applyBorder="1" applyAlignment="1">
      <alignment horizontal="center" vertical="center" wrapText="1"/>
    </xf>
    <xf numFmtId="1" fontId="35" fillId="41" borderId="41" xfId="0" applyNumberFormat="1" applyFont="1" applyFill="1" applyBorder="1" applyAlignment="1">
      <alignment horizontal="left" vertical="center" wrapText="1"/>
    </xf>
    <xf numFmtId="0" fontId="58" fillId="0" borderId="22" xfId="95" applyFont="1" applyBorder="1" applyAlignment="1">
      <alignment vertical="center" wrapText="1"/>
      <protection/>
    </xf>
    <xf numFmtId="0" fontId="58" fillId="0" borderId="22" xfId="95" applyFont="1" applyBorder="1" applyAlignment="1">
      <alignment horizontal="center" vertical="center" wrapText="1"/>
      <protection/>
    </xf>
    <xf numFmtId="49" fontId="58" fillId="0" borderId="22" xfId="0" applyNumberFormat="1" applyFont="1" applyBorder="1" applyAlignment="1">
      <alignment horizontal="center" vertical="center" wrapText="1"/>
    </xf>
    <xf numFmtId="0" fontId="58" fillId="0" borderId="22" xfId="95" applyFont="1" applyBorder="1" applyAlignment="1">
      <alignment horizontal="left" vertical="center" wrapText="1"/>
      <protection/>
    </xf>
    <xf numFmtId="1" fontId="51" fillId="44" borderId="39" xfId="90" applyNumberFormat="1" applyFont="1" applyFill="1" applyBorder="1" applyAlignment="1" applyProtection="1">
      <alignment horizontal="center" vertical="center" wrapText="1"/>
      <protection/>
    </xf>
    <xf numFmtId="3" fontId="4" fillId="41" borderId="16" xfId="0" applyNumberFormat="1" applyFont="1" applyFill="1" applyBorder="1" applyAlignment="1">
      <alignment horizontal="center" vertical="center"/>
    </xf>
    <xf numFmtId="0" fontId="35" fillId="41" borderId="16" xfId="0" applyNumberFormat="1" applyFont="1" applyFill="1" applyBorder="1" applyAlignment="1">
      <alignment horizontal="center" vertical="center" wrapText="1"/>
    </xf>
    <xf numFmtId="3" fontId="35" fillId="41" borderId="16" xfId="0" applyNumberFormat="1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left" vertical="center" wrapText="1"/>
    </xf>
    <xf numFmtId="194" fontId="6" fillId="41" borderId="16" xfId="82" applyNumberFormat="1" applyFont="1" applyFill="1" applyBorder="1" applyAlignment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left" vertical="center" wrapText="1"/>
    </xf>
    <xf numFmtId="194" fontId="6" fillId="41" borderId="16" xfId="0" applyNumberFormat="1" applyFont="1" applyFill="1" applyBorder="1" applyAlignment="1">
      <alignment horizontal="left" vertical="center" wrapText="1"/>
    </xf>
    <xf numFmtId="0" fontId="6" fillId="41" borderId="0" xfId="0" applyFont="1" applyFill="1" applyAlignment="1">
      <alignment horizontal="left" vertical="center" wrapText="1"/>
    </xf>
    <xf numFmtId="49" fontId="6" fillId="41" borderId="0" xfId="0" applyNumberFormat="1" applyFont="1" applyFill="1" applyAlignment="1">
      <alignment horizontal="center" vertical="center"/>
    </xf>
    <xf numFmtId="0" fontId="84" fillId="41" borderId="0" xfId="0" applyFont="1" applyFill="1" applyAlignment="1">
      <alignment horizontal="center" vertical="center" wrapText="1"/>
    </xf>
    <xf numFmtId="49" fontId="53" fillId="41" borderId="0" xfId="0" applyNumberFormat="1" applyFont="1" applyFill="1" applyAlignment="1">
      <alignment horizontal="left" vertical="center" wrapText="1"/>
    </xf>
    <xf numFmtId="49" fontId="80" fillId="41" borderId="0" xfId="0" applyNumberFormat="1" applyFont="1" applyFill="1" applyAlignment="1">
      <alignment horizontal="center" vertical="center"/>
    </xf>
    <xf numFmtId="0" fontId="81" fillId="41" borderId="0" xfId="0" applyFont="1" applyFill="1" applyAlignment="1">
      <alignment vertical="center"/>
    </xf>
    <xf numFmtId="3" fontId="6" fillId="41" borderId="16" xfId="0" applyNumberFormat="1" applyFont="1" applyFill="1" applyBorder="1" applyAlignment="1">
      <alignment horizontal="center" vertical="distributed"/>
    </xf>
    <xf numFmtId="3" fontId="80" fillId="41" borderId="16" xfId="0" applyNumberFormat="1" applyFont="1" applyFill="1" applyBorder="1" applyAlignment="1">
      <alignment horizontal="center" vertical="distributed"/>
    </xf>
    <xf numFmtId="3" fontId="6" fillId="41" borderId="0" xfId="0" applyNumberFormat="1" applyFont="1" applyFill="1" applyAlignment="1">
      <alignment vertical="distributed"/>
    </xf>
    <xf numFmtId="3" fontId="6" fillId="41" borderId="16" xfId="0" applyNumberFormat="1" applyFont="1" applyFill="1" applyBorder="1" applyAlignment="1">
      <alignment horizontal="center"/>
    </xf>
    <xf numFmtId="0" fontId="6" fillId="41" borderId="0" xfId="0" applyFont="1" applyFill="1" applyAlignment="1">
      <alignment horizontal="left" vertical="center"/>
    </xf>
    <xf numFmtId="3" fontId="87" fillId="41" borderId="0" xfId="0" applyNumberFormat="1" applyFont="1" applyFill="1" applyAlignment="1">
      <alignment vertical="center"/>
    </xf>
    <xf numFmtId="0" fontId="6" fillId="41" borderId="0" xfId="0" applyFont="1" applyFill="1" applyAlignment="1">
      <alignment horizontal="right" vertical="center"/>
    </xf>
    <xf numFmtId="0" fontId="87" fillId="41" borderId="0" xfId="0" applyFont="1" applyFill="1" applyAlignment="1">
      <alignment vertical="center"/>
    </xf>
    <xf numFmtId="49" fontId="6" fillId="41" borderId="16" xfId="0" applyNumberFormat="1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left" vertical="center" wrapText="1"/>
    </xf>
    <xf numFmtId="0" fontId="6" fillId="41" borderId="16" xfId="82" applyNumberFormat="1" applyFont="1" applyFill="1" applyBorder="1" applyAlignment="1">
      <alignment horizontal="left" vertical="center" wrapText="1"/>
      <protection/>
    </xf>
    <xf numFmtId="49" fontId="6" fillId="41" borderId="17" xfId="0" applyNumberFormat="1" applyFont="1" applyFill="1" applyBorder="1" applyAlignment="1">
      <alignment horizontal="center" vertical="center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 vertical="center"/>
    </xf>
    <xf numFmtId="0" fontId="6" fillId="0" borderId="0" xfId="97" applyFont="1" applyBorder="1" applyAlignment="1">
      <alignment horizontal="left"/>
      <protection/>
    </xf>
    <xf numFmtId="0" fontId="1" fillId="41" borderId="0" xfId="0" applyNumberFormat="1" applyFont="1" applyFill="1" applyAlignment="1" applyProtection="1">
      <alignment horizontal="left" vertical="center" wrapText="1"/>
      <protection/>
    </xf>
    <xf numFmtId="0" fontId="50" fillId="40" borderId="0" xfId="0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49" fontId="49" fillId="40" borderId="0" xfId="0" applyNumberFormat="1" applyFont="1" applyFill="1" applyAlignment="1">
      <alignment horizontal="center"/>
    </xf>
    <xf numFmtId="0" fontId="6" fillId="40" borderId="0" xfId="0" applyFont="1" applyFill="1" applyAlignment="1">
      <alignment horizontal="center" vertical="top"/>
    </xf>
    <xf numFmtId="0" fontId="4" fillId="41" borderId="16" xfId="0" applyFont="1" applyFill="1" applyBorder="1" applyAlignment="1">
      <alignment horizontal="center" vertical="center" wrapText="1"/>
    </xf>
    <xf numFmtId="3" fontId="4" fillId="41" borderId="16" xfId="0" applyNumberFormat="1" applyFont="1" applyFill="1" applyBorder="1" applyAlignment="1">
      <alignment horizontal="center" vertical="center" wrapText="1"/>
    </xf>
    <xf numFmtId="3" fontId="4" fillId="41" borderId="16" xfId="0" applyNumberFormat="1" applyFont="1" applyFill="1" applyBorder="1" applyAlignment="1">
      <alignment horizontal="center" vertical="center"/>
    </xf>
    <xf numFmtId="0" fontId="6" fillId="0" borderId="0" xfId="97" applyFont="1" applyBorder="1" applyAlignment="1">
      <alignment horizontal="center"/>
      <protection/>
    </xf>
    <xf numFmtId="0" fontId="6" fillId="41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53" fillId="4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41" borderId="0" xfId="0" applyNumberFormat="1" applyFont="1" applyFill="1" applyAlignment="1" applyProtection="1">
      <alignment horizontal="left" vertical="center" wrapText="1"/>
      <protection/>
    </xf>
    <xf numFmtId="0" fontId="84" fillId="0" borderId="0" xfId="0" applyFont="1" applyFill="1" applyAlignment="1">
      <alignment horizontal="center" vertical="center" wrapText="1"/>
    </xf>
    <xf numFmtId="49" fontId="84" fillId="0" borderId="0" xfId="0" applyNumberFormat="1" applyFont="1" applyFill="1" applyAlignment="1">
      <alignment horizontal="center" vertical="center"/>
    </xf>
    <xf numFmtId="0" fontId="80" fillId="41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top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53" fillId="40" borderId="0" xfId="0" applyNumberFormat="1" applyFont="1" applyFill="1" applyBorder="1" applyAlignment="1" applyProtection="1">
      <alignment horizontal="center" vertical="center" wrapText="1"/>
      <protection/>
    </xf>
    <xf numFmtId="0" fontId="81" fillId="0" borderId="18" xfId="0" applyFont="1" applyBorder="1" applyAlignment="1">
      <alignment horizontal="center" vertical="center"/>
    </xf>
    <xf numFmtId="0" fontId="41" fillId="0" borderId="17" xfId="0" applyNumberFormat="1" applyFont="1" applyFill="1" applyBorder="1" applyAlignment="1" applyProtection="1">
      <alignment horizontal="center" vertical="center" wrapText="1"/>
      <protection/>
    </xf>
    <xf numFmtId="0" fontId="41" fillId="0" borderId="42" xfId="0" applyNumberFormat="1" applyFont="1" applyFill="1" applyBorder="1" applyAlignment="1" applyProtection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16" xfId="0" applyNumberFormat="1" applyFont="1" applyFill="1" applyBorder="1" applyAlignment="1" applyProtection="1">
      <alignment horizontal="center" vertical="center" wrapText="1"/>
      <protection/>
    </xf>
    <xf numFmtId="0" fontId="46" fillId="0" borderId="16" xfId="0" applyNumberFormat="1" applyFont="1" applyFill="1" applyBorder="1" applyAlignment="1" applyProtection="1">
      <alignment horizontal="center" vertical="center" wrapText="1"/>
      <protection/>
    </xf>
    <xf numFmtId="0" fontId="46" fillId="0" borderId="17" xfId="0" applyNumberFormat="1" applyFont="1" applyFill="1" applyBorder="1" applyAlignment="1" applyProtection="1">
      <alignment horizontal="center" vertical="center" wrapText="1"/>
      <protection/>
    </xf>
    <xf numFmtId="0" fontId="46" fillId="0" borderId="42" xfId="0" applyNumberFormat="1" applyFont="1" applyFill="1" applyBorder="1" applyAlignment="1" applyProtection="1">
      <alignment horizontal="center" vertical="center" wrapText="1"/>
      <protection/>
    </xf>
    <xf numFmtId="0" fontId="46" fillId="0" borderId="19" xfId="0" applyNumberFormat="1" applyFont="1" applyFill="1" applyBorder="1" applyAlignment="1" applyProtection="1">
      <alignment horizontal="center" vertical="center" wrapText="1"/>
      <protection/>
    </xf>
    <xf numFmtId="0" fontId="46" fillId="0" borderId="26" xfId="0" applyNumberFormat="1" applyFont="1" applyFill="1" applyBorder="1" applyAlignment="1" applyProtection="1">
      <alignment horizontal="center" vertical="center" wrapText="1"/>
      <protection/>
    </xf>
    <xf numFmtId="0" fontId="46" fillId="0" borderId="43" xfId="0" applyNumberFormat="1" applyFont="1" applyFill="1" applyBorder="1" applyAlignment="1" applyProtection="1">
      <alignment horizontal="center" vertical="center" wrapText="1"/>
      <protection/>
    </xf>
    <xf numFmtId="0" fontId="46" fillId="0" borderId="25" xfId="0" applyNumberFormat="1" applyFont="1" applyFill="1" applyBorder="1" applyAlignment="1" applyProtection="1">
      <alignment horizontal="center" vertical="center" wrapText="1"/>
      <protection/>
    </xf>
    <xf numFmtId="0" fontId="46" fillId="0" borderId="44" xfId="0" applyNumberFormat="1" applyFont="1" applyFill="1" applyBorder="1" applyAlignment="1" applyProtection="1">
      <alignment horizontal="center" vertical="center" wrapText="1"/>
      <protection/>
    </xf>
    <xf numFmtId="0" fontId="46" fillId="0" borderId="16" xfId="0" applyFont="1" applyFill="1" applyBorder="1" applyAlignment="1">
      <alignment horizontal="center" vertical="center"/>
    </xf>
    <xf numFmtId="0" fontId="47" fillId="0" borderId="16" xfId="0" applyNumberFormat="1" applyFont="1" applyFill="1" applyBorder="1" applyAlignment="1" applyProtection="1">
      <alignment horizontal="center" vertical="center" wrapText="1"/>
      <protection/>
    </xf>
    <xf numFmtId="0" fontId="80" fillId="41" borderId="0" xfId="0" applyFont="1" applyFill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" fillId="41" borderId="0" xfId="0" applyNumberFormat="1" applyFont="1" applyFill="1" applyBorder="1" applyAlignment="1" applyProtection="1">
      <alignment horizontal="center" vertical="center" wrapText="1"/>
      <protection/>
    </xf>
    <xf numFmtId="0" fontId="35" fillId="41" borderId="0" xfId="0" applyNumberFormat="1" applyFont="1" applyFill="1" applyAlignment="1" applyProtection="1">
      <alignment horizontal="left" vertical="center" wrapText="1"/>
      <protection/>
    </xf>
    <xf numFmtId="49" fontId="49" fillId="41" borderId="0" xfId="0" applyNumberFormat="1" applyFont="1" applyFill="1" applyBorder="1" applyAlignment="1" applyProtection="1">
      <alignment horizontal="left" vertical="center" wrapText="1"/>
      <protection/>
    </xf>
    <xf numFmtId="1" fontId="35" fillId="41" borderId="25" xfId="0" applyNumberFormat="1" applyFont="1" applyFill="1" applyBorder="1" applyAlignment="1">
      <alignment horizontal="center" vertical="center" wrapText="1"/>
    </xf>
    <xf numFmtId="1" fontId="35" fillId="41" borderId="34" xfId="0" applyNumberFormat="1" applyFont="1" applyFill="1" applyBorder="1" applyAlignment="1">
      <alignment horizontal="center" vertical="center" wrapText="1"/>
    </xf>
    <xf numFmtId="1" fontId="35" fillId="41" borderId="44" xfId="0" applyNumberFormat="1" applyFont="1" applyFill="1" applyBorder="1" applyAlignment="1">
      <alignment horizontal="center" vertical="center" wrapText="1"/>
    </xf>
    <xf numFmtId="194" fontId="6" fillId="41" borderId="16" xfId="0" applyNumberFormat="1" applyFont="1" applyFill="1" applyBorder="1" applyAlignment="1">
      <alignment horizontal="left" vertical="center" wrapText="1"/>
    </xf>
    <xf numFmtId="0" fontId="0" fillId="41" borderId="16" xfId="0" applyFont="1" applyFill="1" applyBorder="1" applyAlignment="1">
      <alignment horizontal="left" vertical="center" wrapText="1"/>
    </xf>
    <xf numFmtId="49" fontId="53" fillId="41" borderId="0" xfId="0" applyNumberFormat="1" applyFont="1" applyFill="1" applyBorder="1" applyAlignment="1" applyProtection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194" fontId="6" fillId="41" borderId="17" xfId="0" applyNumberFormat="1" applyFont="1" applyFill="1" applyBorder="1" applyAlignment="1">
      <alignment horizontal="left" vertical="center" wrapText="1"/>
    </xf>
    <xf numFmtId="194" fontId="6" fillId="41" borderId="42" xfId="0" applyNumberFormat="1" applyFont="1" applyFill="1" applyBorder="1" applyAlignment="1">
      <alignment horizontal="left" vertical="center" wrapText="1"/>
    </xf>
    <xf numFmtId="194" fontId="6" fillId="41" borderId="19" xfId="0" applyNumberFormat="1" applyFont="1" applyFill="1" applyBorder="1" applyAlignment="1">
      <alignment horizontal="left" vertical="center" wrapText="1"/>
    </xf>
    <xf numFmtId="3" fontId="6" fillId="41" borderId="17" xfId="0" applyNumberFormat="1" applyFont="1" applyFill="1" applyBorder="1" applyAlignment="1">
      <alignment horizontal="left" vertical="center" wrapText="1"/>
    </xf>
    <xf numFmtId="3" fontId="6" fillId="41" borderId="42" xfId="0" applyNumberFormat="1" applyFont="1" applyFill="1" applyBorder="1" applyAlignment="1">
      <alignment horizontal="left" vertical="center" wrapText="1"/>
    </xf>
    <xf numFmtId="3" fontId="6" fillId="41" borderId="19" xfId="0" applyNumberFormat="1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0" fontId="0" fillId="41" borderId="16" xfId="0" applyFont="1" applyFill="1" applyBorder="1" applyAlignment="1">
      <alignment horizontal="center" vertical="center"/>
    </xf>
    <xf numFmtId="49" fontId="6" fillId="41" borderId="17" xfId="0" applyNumberFormat="1" applyFont="1" applyFill="1" applyBorder="1" applyAlignment="1">
      <alignment horizontal="center" vertical="center"/>
    </xf>
    <xf numFmtId="49" fontId="6" fillId="41" borderId="19" xfId="0" applyNumberFormat="1" applyFont="1" applyFill="1" applyBorder="1" applyAlignment="1">
      <alignment horizontal="center" vertical="center"/>
    </xf>
    <xf numFmtId="0" fontId="6" fillId="41" borderId="0" xfId="0" applyNumberFormat="1" applyFont="1" applyFill="1" applyAlignment="1" applyProtection="1">
      <alignment horizontal="center" vertical="center"/>
      <protection/>
    </xf>
    <xf numFmtId="0" fontId="4" fillId="41" borderId="16" xfId="0" applyNumberFormat="1" applyFont="1" applyFill="1" applyBorder="1" applyAlignment="1" applyProtection="1">
      <alignment horizontal="center" vertical="center" wrapText="1"/>
      <protection/>
    </xf>
    <xf numFmtId="49" fontId="6" fillId="41" borderId="17" xfId="0" applyNumberFormat="1" applyFont="1" applyFill="1" applyBorder="1" applyAlignment="1">
      <alignment horizontal="center" vertical="center" wrapText="1"/>
    </xf>
    <xf numFmtId="49" fontId="6" fillId="41" borderId="19" xfId="0" applyNumberFormat="1" applyFont="1" applyFill="1" applyBorder="1" applyAlignment="1">
      <alignment horizontal="center" vertical="center" wrapText="1"/>
    </xf>
    <xf numFmtId="0" fontId="6" fillId="41" borderId="17" xfId="0" applyNumberFormat="1" applyFont="1" applyFill="1" applyBorder="1" applyAlignment="1" applyProtection="1">
      <alignment horizontal="left" vertical="center" wrapText="1"/>
      <protection/>
    </xf>
    <xf numFmtId="0" fontId="6" fillId="41" borderId="19" xfId="0" applyNumberFormat="1" applyFont="1" applyFill="1" applyBorder="1" applyAlignment="1" applyProtection="1">
      <alignment horizontal="left" vertical="center" wrapText="1"/>
      <protection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3" fontId="6" fillId="41" borderId="16" xfId="82" applyNumberFormat="1" applyFont="1" applyFill="1" applyBorder="1" applyAlignment="1">
      <alignment horizontal="left" vertical="center" wrapText="1"/>
      <protection/>
    </xf>
    <xf numFmtId="0" fontId="6" fillId="41" borderId="16" xfId="0" applyFont="1" applyFill="1" applyBorder="1" applyAlignment="1">
      <alignment horizontal="left" vertical="center" wrapText="1"/>
    </xf>
    <xf numFmtId="194" fontId="6" fillId="41" borderId="16" xfId="82" applyNumberFormat="1" applyFont="1" applyFill="1" applyBorder="1" applyAlignment="1">
      <alignment horizontal="left" vertical="center" wrapText="1"/>
      <protection/>
    </xf>
    <xf numFmtId="3" fontId="6" fillId="41" borderId="16" xfId="90" applyNumberFormat="1" applyFont="1" applyFill="1" applyBorder="1" applyAlignment="1">
      <alignment horizontal="left" vertical="center" wrapText="1"/>
      <protection/>
    </xf>
    <xf numFmtId="49" fontId="6" fillId="41" borderId="42" xfId="0" applyNumberFormat="1" applyFont="1" applyFill="1" applyBorder="1" applyAlignment="1">
      <alignment horizontal="center" vertical="center"/>
    </xf>
    <xf numFmtId="49" fontId="6" fillId="41" borderId="17" xfId="0" applyNumberFormat="1" applyFont="1" applyFill="1" applyBorder="1" applyAlignment="1" applyProtection="1">
      <alignment horizontal="center" vertical="center" wrapText="1"/>
      <protection/>
    </xf>
    <xf numFmtId="194" fontId="6" fillId="41" borderId="17" xfId="0" applyNumberFormat="1" applyFont="1" applyFill="1" applyBorder="1" applyAlignment="1" applyProtection="1">
      <alignment horizontal="left" vertical="center" wrapText="1"/>
      <protection/>
    </xf>
    <xf numFmtId="194" fontId="6" fillId="41" borderId="19" xfId="0" applyNumberFormat="1" applyFont="1" applyFill="1" applyBorder="1" applyAlignment="1" applyProtection="1">
      <alignment horizontal="left" vertical="center" wrapText="1"/>
      <protection/>
    </xf>
    <xf numFmtId="194" fontId="6" fillId="41" borderId="17" xfId="82" applyNumberFormat="1" applyFont="1" applyFill="1" applyBorder="1" applyAlignment="1">
      <alignment horizontal="left" vertical="center" wrapText="1"/>
      <protection/>
    </xf>
    <xf numFmtId="194" fontId="6" fillId="41" borderId="42" xfId="82" applyNumberFormat="1" applyFont="1" applyFill="1" applyBorder="1" applyAlignment="1">
      <alignment horizontal="left" vertical="center" wrapText="1"/>
      <protection/>
    </xf>
    <xf numFmtId="194" fontId="6" fillId="41" borderId="19" xfId="82" applyNumberFormat="1" applyFont="1" applyFill="1" applyBorder="1" applyAlignment="1">
      <alignment horizontal="left" vertical="center" wrapText="1"/>
      <protection/>
    </xf>
    <xf numFmtId="0" fontId="6" fillId="41" borderId="17" xfId="82" applyNumberFormat="1" applyFont="1" applyFill="1" applyBorder="1" applyAlignment="1">
      <alignment horizontal="left" vertical="center" wrapText="1"/>
      <protection/>
    </xf>
    <xf numFmtId="0" fontId="6" fillId="41" borderId="42" xfId="82" applyNumberFormat="1" applyFont="1" applyFill="1" applyBorder="1" applyAlignment="1">
      <alignment horizontal="left" vertical="center" wrapText="1"/>
      <protection/>
    </xf>
    <xf numFmtId="0" fontId="6" fillId="41" borderId="19" xfId="82" applyNumberFormat="1" applyFont="1" applyFill="1" applyBorder="1" applyAlignment="1">
      <alignment horizontal="left" vertical="center" wrapText="1"/>
      <protection/>
    </xf>
    <xf numFmtId="49" fontId="6" fillId="41" borderId="16" xfId="96" applyNumberFormat="1" applyFont="1" applyFill="1" applyBorder="1" applyAlignment="1">
      <alignment horizontal="center" vertical="center"/>
      <protection/>
    </xf>
    <xf numFmtId="0" fontId="6" fillId="41" borderId="16" xfId="82" applyNumberFormat="1" applyFont="1" applyFill="1" applyBorder="1" applyAlignment="1">
      <alignment horizontal="left" vertical="center" wrapText="1"/>
      <protection/>
    </xf>
    <xf numFmtId="3" fontId="6" fillId="41" borderId="17" xfId="82" applyNumberFormat="1" applyFont="1" applyFill="1" applyBorder="1" applyAlignment="1">
      <alignment horizontal="left" vertical="center" wrapText="1"/>
      <protection/>
    </xf>
    <xf numFmtId="3" fontId="6" fillId="41" borderId="19" xfId="82" applyNumberFormat="1" applyFont="1" applyFill="1" applyBorder="1" applyAlignment="1">
      <alignment horizontal="left" vertical="center" wrapText="1"/>
      <protection/>
    </xf>
    <xf numFmtId="0" fontId="6" fillId="41" borderId="17" xfId="90" applyFont="1" applyFill="1" applyBorder="1" applyAlignment="1">
      <alignment horizontal="left" vertical="center" wrapText="1"/>
      <protection/>
    </xf>
    <xf numFmtId="0" fontId="6" fillId="41" borderId="19" xfId="90" applyFont="1" applyFill="1" applyBorder="1" applyAlignment="1">
      <alignment horizontal="left" vertical="center" wrapText="1"/>
      <protection/>
    </xf>
    <xf numFmtId="2" fontId="6" fillId="40" borderId="1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49" fontId="49" fillId="40" borderId="0" xfId="0" applyNumberFormat="1" applyFont="1" applyFill="1" applyBorder="1" applyAlignment="1" applyProtection="1">
      <alignment horizontal="center" vertical="center" wrapText="1"/>
      <protection/>
    </xf>
    <xf numFmtId="0" fontId="35" fillId="40" borderId="0" xfId="0" applyNumberFormat="1" applyFont="1" applyFill="1" applyBorder="1" applyAlignment="1" applyProtection="1">
      <alignment horizontal="center" vertical="center" wrapText="1"/>
      <protection/>
    </xf>
    <xf numFmtId="0" fontId="6" fillId="40" borderId="0" xfId="0" applyNumberFormat="1" applyFont="1" applyFill="1" applyBorder="1" applyAlignment="1" applyProtection="1">
      <alignment horizontal="center" vertical="center" wrapText="1"/>
      <protection/>
    </xf>
    <xf numFmtId="0" fontId="13" fillId="40" borderId="0" xfId="0" applyNumberFormat="1" applyFont="1" applyFill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41" borderId="0" xfId="0" applyFont="1" applyFill="1" applyAlignment="1">
      <alignment horizontal="center" vertical="center" wrapText="1"/>
    </xf>
    <xf numFmtId="0" fontId="80" fillId="41" borderId="0" xfId="0" applyFont="1" applyFill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4" fillId="41" borderId="17" xfId="0" applyFont="1" applyFill="1" applyBorder="1" applyAlignment="1">
      <alignment horizontal="center" vertical="center" wrapText="1"/>
    </xf>
    <xf numFmtId="0" fontId="4" fillId="41" borderId="42" xfId="0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wrapText="1"/>
    </xf>
    <xf numFmtId="49" fontId="84" fillId="41" borderId="0" xfId="0" applyNumberFormat="1" applyFont="1" applyFill="1" applyAlignment="1">
      <alignment horizontal="center" vertical="center" wrapText="1"/>
    </xf>
    <xf numFmtId="2" fontId="6" fillId="41" borderId="16" xfId="0" applyNumberFormat="1" applyFont="1" applyFill="1" applyBorder="1" applyAlignment="1">
      <alignment vertical="center" wrapText="1"/>
    </xf>
    <xf numFmtId="3" fontId="4" fillId="41" borderId="0" xfId="0" applyNumberFormat="1" applyFont="1" applyFill="1" applyAlignment="1">
      <alignment vertical="distributed"/>
    </xf>
    <xf numFmtId="49" fontId="35" fillId="41" borderId="17" xfId="0" applyNumberFormat="1" applyFont="1" applyFill="1" applyBorder="1" applyAlignment="1">
      <alignment horizontal="center" vertical="center" wrapText="1"/>
    </xf>
    <xf numFmtId="49" fontId="35" fillId="41" borderId="42" xfId="0" applyNumberFormat="1" applyFont="1" applyFill="1" applyBorder="1" applyAlignment="1">
      <alignment horizontal="center" vertical="center" wrapText="1"/>
    </xf>
    <xf numFmtId="49" fontId="35" fillId="41" borderId="19" xfId="0" applyNumberFormat="1" applyFont="1" applyFill="1" applyBorder="1" applyAlignment="1">
      <alignment horizontal="center" vertical="center" wrapText="1"/>
    </xf>
    <xf numFmtId="0" fontId="6" fillId="41" borderId="17" xfId="0" applyFont="1" applyFill="1" applyBorder="1" applyAlignment="1">
      <alignment horizontal="center" vertical="center" wrapText="1"/>
    </xf>
    <xf numFmtId="0" fontId="6" fillId="41" borderId="42" xfId="0" applyFont="1" applyFill="1" applyBorder="1" applyAlignment="1">
      <alignment horizontal="center" vertical="center" wrapText="1"/>
    </xf>
    <xf numFmtId="0" fontId="6" fillId="41" borderId="19" xfId="0" applyFont="1" applyFill="1" applyBorder="1" applyAlignment="1">
      <alignment horizontal="center" vertical="center" wrapText="1"/>
    </xf>
    <xf numFmtId="0" fontId="8" fillId="41" borderId="0" xfId="0" applyNumberFormat="1" applyFont="1" applyFill="1" applyAlignment="1" applyProtection="1">
      <alignment/>
      <protection/>
    </xf>
    <xf numFmtId="49" fontId="6" fillId="41" borderId="19" xfId="0" applyNumberFormat="1" applyFont="1" applyFill="1" applyBorder="1" applyAlignment="1" applyProtection="1">
      <alignment horizontal="center" vertical="center" wrapText="1"/>
      <protection/>
    </xf>
    <xf numFmtId="0" fontId="35" fillId="41" borderId="25" xfId="0" applyFont="1" applyFill="1" applyBorder="1" applyAlignment="1">
      <alignment vertical="top" wrapText="1"/>
    </xf>
    <xf numFmtId="0" fontId="35" fillId="41" borderId="16" xfId="0" applyFont="1" applyFill="1" applyBorder="1" applyAlignment="1">
      <alignment vertical="top" wrapText="1"/>
    </xf>
    <xf numFmtId="0" fontId="35" fillId="41" borderId="16" xfId="0" applyFont="1" applyFill="1" applyBorder="1" applyAlignment="1">
      <alignment horizontal="center" vertical="center" wrapText="1"/>
    </xf>
    <xf numFmtId="3" fontId="35" fillId="41" borderId="27" xfId="0" applyNumberFormat="1" applyFont="1" applyFill="1" applyBorder="1" applyAlignment="1">
      <alignment horizontal="center" vertical="center" wrapText="1"/>
    </xf>
    <xf numFmtId="0" fontId="35" fillId="41" borderId="16" xfId="79" applyFont="1" applyFill="1" applyBorder="1" applyAlignment="1">
      <alignment horizontal="left" vertical="top" wrapText="1"/>
      <protection/>
    </xf>
    <xf numFmtId="0" fontId="35" fillId="41" borderId="17" xfId="79" applyFont="1" applyFill="1" applyBorder="1" applyAlignment="1">
      <alignment horizontal="left" vertical="top" wrapText="1"/>
      <protection/>
    </xf>
    <xf numFmtId="1" fontId="91" fillId="0" borderId="20" xfId="0" applyNumberFormat="1" applyFont="1" applyFill="1" applyBorder="1" applyAlignment="1">
      <alignment horizontal="left" vertical="top" wrapText="1"/>
    </xf>
    <xf numFmtId="1" fontId="35" fillId="0" borderId="20" xfId="0" applyNumberFormat="1" applyFont="1" applyFill="1" applyBorder="1" applyAlignment="1">
      <alignment horizontal="left" vertical="top" wrapText="1"/>
    </xf>
    <xf numFmtId="0" fontId="58" fillId="0" borderId="16" xfId="95" applyFont="1" applyBorder="1" applyAlignment="1">
      <alignment horizontal="center" vertical="center" wrapText="1"/>
      <protection/>
    </xf>
    <xf numFmtId="49" fontId="58" fillId="0" borderId="16" xfId="0" applyNumberFormat="1" applyFont="1" applyBorder="1" applyAlignment="1">
      <alignment horizontal="center" vertical="center" wrapText="1"/>
    </xf>
    <xf numFmtId="0" fontId="58" fillId="0" borderId="16" xfId="95" applyFont="1" applyBorder="1" applyAlignment="1">
      <alignment horizontal="left" vertical="top" wrapText="1"/>
      <protection/>
    </xf>
    <xf numFmtId="1" fontId="35" fillId="44" borderId="16" xfId="90" applyNumberFormat="1" applyFont="1" applyFill="1" applyBorder="1" applyAlignment="1" applyProtection="1">
      <alignment horizontal="left" vertical="top" wrapText="1"/>
      <protection/>
    </xf>
    <xf numFmtId="1" fontId="91" fillId="0" borderId="16" xfId="0" applyNumberFormat="1" applyFont="1" applyFill="1" applyBorder="1" applyAlignment="1">
      <alignment horizontal="left" vertical="top" wrapText="1"/>
    </xf>
    <xf numFmtId="0" fontId="35" fillId="41" borderId="25" xfId="0" applyFont="1" applyFill="1" applyBorder="1" applyAlignment="1">
      <alignment vertical="center" wrapText="1"/>
    </xf>
    <xf numFmtId="0" fontId="35" fillId="41" borderId="16" xfId="0" applyFont="1" applyFill="1" applyBorder="1" applyAlignment="1">
      <alignment vertical="center" wrapText="1"/>
    </xf>
    <xf numFmtId="1" fontId="51" fillId="44" borderId="16" xfId="90" applyNumberFormat="1" applyFont="1" applyFill="1" applyBorder="1" applyAlignment="1" applyProtection="1">
      <alignment horizontal="left" vertical="center" wrapText="1"/>
      <protection/>
    </xf>
    <xf numFmtId="0" fontId="35" fillId="41" borderId="25" xfId="0" applyFont="1" applyFill="1" applyBorder="1" applyAlignment="1">
      <alignment horizontal="left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Доходи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ідсотковий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2 2" xfId="76"/>
    <cellStyle name="Заголовок 3" xfId="77"/>
    <cellStyle name="Заголовок 4" xfId="78"/>
    <cellStyle name="Звичайний 2" xfId="79"/>
    <cellStyle name="Звичайний 2 2" xfId="80"/>
    <cellStyle name="Звичайний 2 3" xfId="81"/>
    <cellStyle name="Звичайний_Додаток _ 3 зм_ни 4575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ейтральный" xfId="88"/>
    <cellStyle name="Нейтральный 2" xfId="89"/>
    <cellStyle name="Обычный 2" xfId="90"/>
    <cellStyle name="Обычный 2 2" xfId="91"/>
    <cellStyle name="Обычный 2 3" xfId="92"/>
    <cellStyle name="Обычный 3" xfId="93"/>
    <cellStyle name="Обычный 4" xfId="94"/>
    <cellStyle name="Обычный_ZV1PIV98" xfId="95"/>
    <cellStyle name="Обычный_дод на комісію про затверд бюд 2004" xfId="96"/>
    <cellStyle name="Обычный_дод на комісію про затверд бюд 2004_Dod 4." xfId="97"/>
    <cellStyle name="Обычный_Додатки 2004" xfId="98"/>
    <cellStyle name="Обычный_ОБЛАСТІ 2002 РІЙОНИ 2002" xfId="99"/>
    <cellStyle name="Followed Hyperlink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Фінансовий 2" xfId="114"/>
    <cellStyle name="Хороший" xfId="115"/>
    <cellStyle name="Хороший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view="pageBreakPreview" zoomScaleSheetLayoutView="100" zoomScalePageLayoutView="0" workbookViewId="0" topLeftCell="A100">
      <selection activeCell="D107" sqref="D107"/>
    </sheetView>
  </sheetViews>
  <sheetFormatPr defaultColWidth="9.00390625" defaultRowHeight="12.75"/>
  <cols>
    <col min="1" max="1" width="13.00390625" style="283" customWidth="1"/>
    <col min="2" max="2" width="76.125" style="48" customWidth="1"/>
    <col min="3" max="3" width="20.875" style="9" bestFit="1" customWidth="1"/>
    <col min="4" max="4" width="21.00390625" style="17" customWidth="1"/>
    <col min="5" max="5" width="18.25390625" style="9" customWidth="1"/>
    <col min="6" max="6" width="19.875" style="9" customWidth="1"/>
    <col min="7" max="8" width="9.125" style="9" customWidth="1"/>
    <col min="9" max="9" width="16.125" style="9" customWidth="1"/>
    <col min="10" max="17" width="9.125" style="9" customWidth="1"/>
    <col min="18" max="16384" width="9.125" style="1" customWidth="1"/>
  </cols>
  <sheetData>
    <row r="1" spans="1:17" s="24" customFormat="1" ht="100.5" customHeight="1">
      <c r="A1" s="256"/>
      <c r="B1" s="56"/>
      <c r="C1" s="635" t="s">
        <v>534</v>
      </c>
      <c r="D1" s="635"/>
      <c r="E1" s="635"/>
      <c r="F1" s="635"/>
      <c r="G1" s="49"/>
      <c r="H1" s="49"/>
      <c r="I1" s="50"/>
      <c r="J1" s="281"/>
      <c r="K1" s="281"/>
      <c r="L1" s="281"/>
      <c r="M1" s="281"/>
      <c r="N1" s="281"/>
      <c r="O1" s="281"/>
      <c r="P1" s="281"/>
      <c r="Q1" s="281"/>
    </row>
    <row r="2" spans="1:17" s="24" customFormat="1" ht="18.75" customHeight="1">
      <c r="A2" s="256"/>
      <c r="B2" s="56"/>
      <c r="C2" s="115" t="s">
        <v>309</v>
      </c>
      <c r="D2" s="255"/>
      <c r="E2" s="255"/>
      <c r="F2" s="255"/>
      <c r="G2" s="49"/>
      <c r="H2" s="49"/>
      <c r="I2" s="50"/>
      <c r="J2" s="281"/>
      <c r="K2" s="281"/>
      <c r="L2" s="281"/>
      <c r="M2" s="281"/>
      <c r="N2" s="281"/>
      <c r="O2" s="281"/>
      <c r="P2" s="281"/>
      <c r="Q2" s="281"/>
    </row>
    <row r="3" spans="1:17" s="24" customFormat="1" ht="27.75" customHeight="1">
      <c r="A3" s="636" t="s">
        <v>364</v>
      </c>
      <c r="B3" s="637"/>
      <c r="C3" s="637"/>
      <c r="D3" s="637"/>
      <c r="E3" s="637"/>
      <c r="F3" s="637"/>
      <c r="G3" s="49"/>
      <c r="H3" s="49"/>
      <c r="I3" s="50"/>
      <c r="J3" s="281"/>
      <c r="K3" s="281"/>
      <c r="L3" s="281"/>
      <c r="M3" s="281"/>
      <c r="N3" s="281"/>
      <c r="O3" s="281"/>
      <c r="P3" s="281"/>
      <c r="Q3" s="281"/>
    </row>
    <row r="4" spans="1:17" s="156" customFormat="1" ht="24.75" customHeight="1">
      <c r="A4" s="638" t="s">
        <v>455</v>
      </c>
      <c r="B4" s="638"/>
      <c r="C4" s="638"/>
      <c r="D4" s="638"/>
      <c r="E4" s="638"/>
      <c r="F4" s="638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157" customFormat="1" ht="24.75" customHeight="1">
      <c r="A5" s="639" t="s">
        <v>365</v>
      </c>
      <c r="B5" s="639"/>
      <c r="C5" s="639"/>
      <c r="D5" s="639"/>
      <c r="E5" s="639"/>
      <c r="F5" s="639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6" spans="1:17" s="24" customFormat="1" ht="24.75" customHeight="1">
      <c r="A6" s="640" t="s">
        <v>310</v>
      </c>
      <c r="B6" s="640"/>
      <c r="C6" s="640"/>
      <c r="D6" s="640"/>
      <c r="E6" s="640"/>
      <c r="F6" s="640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s="24" customFormat="1" ht="24.75" customHeight="1">
      <c r="B7" s="48"/>
      <c r="D7" s="17"/>
      <c r="E7" s="9"/>
      <c r="F7" s="283" t="s">
        <v>366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51" customFormat="1" ht="24.75" customHeight="1">
      <c r="A8" s="633" t="s">
        <v>67</v>
      </c>
      <c r="B8" s="641" t="s">
        <v>286</v>
      </c>
      <c r="C8" s="633" t="s">
        <v>267</v>
      </c>
      <c r="D8" s="642" t="s">
        <v>91</v>
      </c>
      <c r="E8" s="633" t="s">
        <v>69</v>
      </c>
      <c r="F8" s="63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51" customFormat="1" ht="50.25" customHeight="1">
      <c r="A9" s="633"/>
      <c r="B9" s="641"/>
      <c r="C9" s="633"/>
      <c r="D9" s="643"/>
      <c r="E9" s="257" t="s">
        <v>268</v>
      </c>
      <c r="F9" s="31" t="s">
        <v>272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51" customFormat="1" ht="18.75" customHeight="1">
      <c r="A10" s="257">
        <v>1</v>
      </c>
      <c r="B10" s="31">
        <v>2</v>
      </c>
      <c r="C10" s="257">
        <v>3</v>
      </c>
      <c r="D10" s="284">
        <v>4</v>
      </c>
      <c r="E10" s="257">
        <v>5</v>
      </c>
      <c r="F10" s="31">
        <v>6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6" s="13" customFormat="1" ht="24.75" customHeight="1">
      <c r="A11" s="285">
        <v>10000000</v>
      </c>
      <c r="B11" s="25" t="s">
        <v>92</v>
      </c>
      <c r="C11" s="286">
        <f aca="true" t="shared" si="0" ref="C11:C80">D11+E11</f>
        <v>738201000</v>
      </c>
      <c r="D11" s="287">
        <f>D12+D26+D32+D51+D21</f>
        <v>738041400</v>
      </c>
      <c r="E11" s="287">
        <f>E12+E26+E32+E51</f>
        <v>159600</v>
      </c>
      <c r="F11" s="287"/>
    </row>
    <row r="12" spans="1:6" s="13" customFormat="1" ht="34.5" customHeight="1">
      <c r="A12" s="285">
        <v>11000000</v>
      </c>
      <c r="B12" s="20" t="s">
        <v>93</v>
      </c>
      <c r="C12" s="286">
        <f t="shared" si="0"/>
        <v>477852300</v>
      </c>
      <c r="D12" s="287">
        <f>D13+D19</f>
        <v>477852300</v>
      </c>
      <c r="E12" s="287">
        <f>E13+E19</f>
        <v>0</v>
      </c>
      <c r="F12" s="287"/>
    </row>
    <row r="13" spans="1:6" s="13" customFormat="1" ht="26.25" customHeight="1">
      <c r="A13" s="285">
        <v>11010000</v>
      </c>
      <c r="B13" s="20" t="s">
        <v>94</v>
      </c>
      <c r="C13" s="286">
        <f t="shared" si="0"/>
        <v>476153400</v>
      </c>
      <c r="D13" s="287">
        <f>SUM(D14:D18)</f>
        <v>476153400</v>
      </c>
      <c r="E13" s="287"/>
      <c r="F13" s="287"/>
    </row>
    <row r="14" spans="1:6" s="9" customFormat="1" ht="34.5" customHeight="1">
      <c r="A14" s="288">
        <v>11010100</v>
      </c>
      <c r="B14" s="18" t="s">
        <v>95</v>
      </c>
      <c r="C14" s="289">
        <f t="shared" si="0"/>
        <v>384896600</v>
      </c>
      <c r="D14" s="289">
        <v>384896600</v>
      </c>
      <c r="E14" s="289"/>
      <c r="F14" s="289"/>
    </row>
    <row r="15" spans="1:6" s="9" customFormat="1" ht="53.25" customHeight="1">
      <c r="A15" s="288">
        <v>11010200</v>
      </c>
      <c r="B15" s="18" t="s">
        <v>96</v>
      </c>
      <c r="C15" s="289">
        <f t="shared" si="0"/>
        <v>81676800</v>
      </c>
      <c r="D15" s="290">
        <v>81676800</v>
      </c>
      <c r="E15" s="289"/>
      <c r="F15" s="289"/>
    </row>
    <row r="16" spans="1:6" s="9" customFormat="1" ht="36.75" customHeight="1">
      <c r="A16" s="288">
        <v>11010400</v>
      </c>
      <c r="B16" s="18" t="s">
        <v>97</v>
      </c>
      <c r="C16" s="289">
        <f t="shared" si="0"/>
        <v>4180000</v>
      </c>
      <c r="D16" s="289">
        <v>4180000</v>
      </c>
      <c r="E16" s="289"/>
      <c r="F16" s="289"/>
    </row>
    <row r="17" spans="1:6" s="9" customFormat="1" ht="33.75" customHeight="1">
      <c r="A17" s="288">
        <v>11010500</v>
      </c>
      <c r="B17" s="18" t="s">
        <v>98</v>
      </c>
      <c r="C17" s="289">
        <f t="shared" si="0"/>
        <v>5400000</v>
      </c>
      <c r="D17" s="289">
        <v>5400000</v>
      </c>
      <c r="E17" s="289"/>
      <c r="F17" s="289"/>
    </row>
    <row r="18" spans="1:6" s="9" customFormat="1" ht="51" customHeight="1" hidden="1">
      <c r="A18" s="261">
        <v>11010900</v>
      </c>
      <c r="B18" s="18" t="s">
        <v>99</v>
      </c>
      <c r="C18" s="289">
        <f t="shared" si="0"/>
        <v>0</v>
      </c>
      <c r="D18" s="289"/>
      <c r="E18" s="289"/>
      <c r="F18" s="289"/>
    </row>
    <row r="19" spans="1:6" s="13" customFormat="1" ht="19.5" customHeight="1">
      <c r="A19" s="285">
        <v>11020000</v>
      </c>
      <c r="B19" s="20" t="s">
        <v>100</v>
      </c>
      <c r="C19" s="286">
        <f t="shared" si="0"/>
        <v>1698900</v>
      </c>
      <c r="D19" s="287">
        <f>D20</f>
        <v>1698900</v>
      </c>
      <c r="E19" s="286"/>
      <c r="F19" s="286"/>
    </row>
    <row r="20" spans="1:6" s="9" customFormat="1" ht="33.75" customHeight="1">
      <c r="A20" s="288">
        <v>11020200</v>
      </c>
      <c r="B20" s="52" t="s">
        <v>101</v>
      </c>
      <c r="C20" s="289">
        <f t="shared" si="0"/>
        <v>1698900</v>
      </c>
      <c r="D20" s="291">
        <v>1698900</v>
      </c>
      <c r="E20" s="289"/>
      <c r="F20" s="289"/>
    </row>
    <row r="21" spans="1:6" s="13" customFormat="1" ht="33.75" customHeight="1">
      <c r="A21" s="292">
        <v>13000000</v>
      </c>
      <c r="B21" s="158" t="s">
        <v>367</v>
      </c>
      <c r="C21" s="286">
        <f t="shared" si="0"/>
        <v>727100</v>
      </c>
      <c r="D21" s="287">
        <f>D22+D24</f>
        <v>727100</v>
      </c>
      <c r="E21" s="286"/>
      <c r="F21" s="286"/>
    </row>
    <row r="22" spans="1:6" s="13" customFormat="1" ht="33.75" customHeight="1">
      <c r="A22" s="264">
        <v>13010000</v>
      </c>
      <c r="B22" s="263" t="s">
        <v>368</v>
      </c>
      <c r="C22" s="286">
        <f t="shared" si="0"/>
        <v>701900</v>
      </c>
      <c r="D22" s="287">
        <f>D23</f>
        <v>701900</v>
      </c>
      <c r="E22" s="286"/>
      <c r="F22" s="286"/>
    </row>
    <row r="23" spans="1:6" s="9" customFormat="1" ht="48.75" customHeight="1">
      <c r="A23" s="293">
        <v>13010200</v>
      </c>
      <c r="B23" s="159" t="s">
        <v>369</v>
      </c>
      <c r="C23" s="289">
        <f t="shared" si="0"/>
        <v>701900</v>
      </c>
      <c r="D23" s="291">
        <v>701900</v>
      </c>
      <c r="E23" s="289"/>
      <c r="F23" s="289"/>
    </row>
    <row r="24" spans="1:6" s="13" customFormat="1" ht="33.75" customHeight="1">
      <c r="A24" s="264">
        <v>13030000</v>
      </c>
      <c r="B24" s="263" t="s">
        <v>370</v>
      </c>
      <c r="C24" s="286">
        <f t="shared" si="0"/>
        <v>25200</v>
      </c>
      <c r="D24" s="287">
        <f>D25</f>
        <v>25200</v>
      </c>
      <c r="E24" s="286"/>
      <c r="F24" s="286"/>
    </row>
    <row r="25" spans="1:6" s="9" customFormat="1" ht="33.75" customHeight="1">
      <c r="A25" s="293">
        <v>13030100</v>
      </c>
      <c r="B25" s="159" t="s">
        <v>371</v>
      </c>
      <c r="C25" s="289">
        <f t="shared" si="0"/>
        <v>25200</v>
      </c>
      <c r="D25" s="291">
        <v>25200</v>
      </c>
      <c r="E25" s="289"/>
      <c r="F25" s="289"/>
    </row>
    <row r="26" spans="1:6" s="13" customFormat="1" ht="21.75" customHeight="1">
      <c r="A26" s="285">
        <v>14000000</v>
      </c>
      <c r="B26" s="53" t="s">
        <v>102</v>
      </c>
      <c r="C26" s="286">
        <f t="shared" si="0"/>
        <v>86907800</v>
      </c>
      <c r="D26" s="287">
        <f>D31+D27+D29</f>
        <v>86907800</v>
      </c>
      <c r="E26" s="286"/>
      <c r="F26" s="286"/>
    </row>
    <row r="27" spans="1:6" s="13" customFormat="1" ht="33.75" customHeight="1">
      <c r="A27" s="262">
        <v>14020000</v>
      </c>
      <c r="B27" s="20" t="s">
        <v>259</v>
      </c>
      <c r="C27" s="286">
        <f t="shared" si="0"/>
        <v>5800000</v>
      </c>
      <c r="D27" s="287">
        <f>D28</f>
        <v>5800000</v>
      </c>
      <c r="E27" s="286"/>
      <c r="F27" s="286"/>
    </row>
    <row r="28" spans="1:6" s="9" customFormat="1" ht="33.75" customHeight="1">
      <c r="A28" s="261">
        <v>14021900</v>
      </c>
      <c r="B28" s="18" t="s">
        <v>260</v>
      </c>
      <c r="C28" s="289">
        <f t="shared" si="0"/>
        <v>5800000</v>
      </c>
      <c r="D28" s="291">
        <v>5800000</v>
      </c>
      <c r="E28" s="289"/>
      <c r="F28" s="289"/>
    </row>
    <row r="29" spans="1:6" s="13" customFormat="1" ht="33.75" customHeight="1">
      <c r="A29" s="262">
        <v>14030000</v>
      </c>
      <c r="B29" s="20" t="s">
        <v>261</v>
      </c>
      <c r="C29" s="286">
        <f t="shared" si="0"/>
        <v>20480000</v>
      </c>
      <c r="D29" s="287">
        <f>D30</f>
        <v>20480000</v>
      </c>
      <c r="E29" s="286"/>
      <c r="F29" s="286"/>
    </row>
    <row r="30" spans="1:6" s="9" customFormat="1" ht="33.75" customHeight="1">
      <c r="A30" s="261">
        <v>14031900</v>
      </c>
      <c r="B30" s="18" t="s">
        <v>260</v>
      </c>
      <c r="C30" s="289">
        <f t="shared" si="0"/>
        <v>20480000</v>
      </c>
      <c r="D30" s="291">
        <v>20480000</v>
      </c>
      <c r="E30" s="289"/>
      <c r="F30" s="289"/>
    </row>
    <row r="31" spans="1:6" s="13" customFormat="1" ht="33.75" customHeight="1">
      <c r="A31" s="285">
        <v>14040000</v>
      </c>
      <c r="B31" s="20" t="s">
        <v>103</v>
      </c>
      <c r="C31" s="286">
        <f t="shared" si="0"/>
        <v>60627800</v>
      </c>
      <c r="D31" s="287">
        <v>60627800</v>
      </c>
      <c r="E31" s="286"/>
      <c r="F31" s="286"/>
    </row>
    <row r="32" spans="1:6" s="13" customFormat="1" ht="24.75" customHeight="1">
      <c r="A32" s="285">
        <v>18000000</v>
      </c>
      <c r="B32" s="20" t="s">
        <v>104</v>
      </c>
      <c r="C32" s="286">
        <f t="shared" si="0"/>
        <v>172554200</v>
      </c>
      <c r="D32" s="287">
        <f>D33+D44+D47</f>
        <v>172554200</v>
      </c>
      <c r="E32" s="287"/>
      <c r="F32" s="287"/>
    </row>
    <row r="33" spans="1:6" s="13" customFormat="1" ht="24.75" customHeight="1">
      <c r="A33" s="285">
        <v>18010000</v>
      </c>
      <c r="B33" s="20" t="s">
        <v>105</v>
      </c>
      <c r="C33" s="286">
        <f t="shared" si="0"/>
        <v>63093300</v>
      </c>
      <c r="D33" s="287">
        <f>SUM(D34:D43)</f>
        <v>63093300</v>
      </c>
      <c r="E33" s="286"/>
      <c r="F33" s="286"/>
    </row>
    <row r="34" spans="1:6" s="9" customFormat="1" ht="38.25" customHeight="1">
      <c r="A34" s="288">
        <v>18010100</v>
      </c>
      <c r="B34" s="18" t="s">
        <v>106</v>
      </c>
      <c r="C34" s="289">
        <f t="shared" si="0"/>
        <v>306900</v>
      </c>
      <c r="D34" s="291">
        <v>306900</v>
      </c>
      <c r="E34" s="289"/>
      <c r="F34" s="289"/>
    </row>
    <row r="35" spans="1:6" s="9" customFormat="1" ht="42" customHeight="1">
      <c r="A35" s="288">
        <v>18010200</v>
      </c>
      <c r="B35" s="18" t="s">
        <v>107</v>
      </c>
      <c r="C35" s="289">
        <f t="shared" si="0"/>
        <v>1366700</v>
      </c>
      <c r="D35" s="291">
        <v>1366700</v>
      </c>
      <c r="E35" s="289"/>
      <c r="F35" s="289"/>
    </row>
    <row r="36" spans="1:6" s="9" customFormat="1" ht="40.5" customHeight="1">
      <c r="A36" s="288">
        <v>18010300</v>
      </c>
      <c r="B36" s="18" t="s">
        <v>108</v>
      </c>
      <c r="C36" s="289">
        <f t="shared" si="0"/>
        <v>2576400</v>
      </c>
      <c r="D36" s="291">
        <v>2576400</v>
      </c>
      <c r="E36" s="289"/>
      <c r="F36" s="289"/>
    </row>
    <row r="37" spans="1:6" s="9" customFormat="1" ht="42.75" customHeight="1">
      <c r="A37" s="288">
        <v>18010400</v>
      </c>
      <c r="B37" s="18" t="s">
        <v>109</v>
      </c>
      <c r="C37" s="289">
        <f t="shared" si="0"/>
        <v>4828900</v>
      </c>
      <c r="D37" s="291">
        <v>4828900</v>
      </c>
      <c r="E37" s="289"/>
      <c r="F37" s="289"/>
    </row>
    <row r="38" spans="1:6" s="9" customFormat="1" ht="27" customHeight="1">
      <c r="A38" s="288">
        <v>18010500</v>
      </c>
      <c r="B38" s="18" t="s">
        <v>110</v>
      </c>
      <c r="C38" s="289">
        <f t="shared" si="0"/>
        <v>39232400</v>
      </c>
      <c r="D38" s="291">
        <v>39232400</v>
      </c>
      <c r="E38" s="289"/>
      <c r="F38" s="289"/>
    </row>
    <row r="39" spans="1:6" s="9" customFormat="1" ht="26.25" customHeight="1">
      <c r="A39" s="288">
        <v>18010600</v>
      </c>
      <c r="B39" s="18" t="s">
        <v>111</v>
      </c>
      <c r="C39" s="289">
        <f t="shared" si="0"/>
        <v>10400000</v>
      </c>
      <c r="D39" s="291">
        <v>10400000</v>
      </c>
      <c r="E39" s="289"/>
      <c r="F39" s="289"/>
    </row>
    <row r="40" spans="1:6" s="9" customFormat="1" ht="27" customHeight="1">
      <c r="A40" s="288">
        <v>18010700</v>
      </c>
      <c r="B40" s="18" t="s">
        <v>112</v>
      </c>
      <c r="C40" s="289">
        <f t="shared" si="0"/>
        <v>2532000</v>
      </c>
      <c r="D40" s="291">
        <v>2532000</v>
      </c>
      <c r="E40" s="289"/>
      <c r="F40" s="289"/>
    </row>
    <row r="41" spans="1:6" s="9" customFormat="1" ht="26.25" customHeight="1">
      <c r="A41" s="288">
        <v>18010900</v>
      </c>
      <c r="B41" s="18" t="s">
        <v>113</v>
      </c>
      <c r="C41" s="289">
        <f t="shared" si="0"/>
        <v>1200000</v>
      </c>
      <c r="D41" s="291">
        <v>1200000</v>
      </c>
      <c r="E41" s="289"/>
      <c r="F41" s="289"/>
    </row>
    <row r="42" spans="1:6" s="9" customFormat="1" ht="27.75" customHeight="1">
      <c r="A42" s="288">
        <v>18011000</v>
      </c>
      <c r="B42" s="18" t="s">
        <v>114</v>
      </c>
      <c r="C42" s="289">
        <f t="shared" si="0"/>
        <v>125000</v>
      </c>
      <c r="D42" s="291">
        <v>125000</v>
      </c>
      <c r="E42" s="289"/>
      <c r="F42" s="289"/>
    </row>
    <row r="43" spans="1:6" s="9" customFormat="1" ht="30" customHeight="1">
      <c r="A43" s="288">
        <v>18011100</v>
      </c>
      <c r="B43" s="18" t="s">
        <v>115</v>
      </c>
      <c r="C43" s="289">
        <f t="shared" si="0"/>
        <v>525000</v>
      </c>
      <c r="D43" s="291">
        <v>525000</v>
      </c>
      <c r="E43" s="289"/>
      <c r="F43" s="289"/>
    </row>
    <row r="44" spans="1:6" s="13" customFormat="1" ht="24.75" customHeight="1">
      <c r="A44" s="285">
        <v>18030000</v>
      </c>
      <c r="B44" s="20" t="s">
        <v>116</v>
      </c>
      <c r="C44" s="286">
        <f t="shared" si="0"/>
        <v>428600</v>
      </c>
      <c r="D44" s="287">
        <f>D45+D46</f>
        <v>428600</v>
      </c>
      <c r="E44" s="286"/>
      <c r="F44" s="286"/>
    </row>
    <row r="45" spans="1:6" s="9" customFormat="1" ht="21" customHeight="1">
      <c r="A45" s="288">
        <v>18030100</v>
      </c>
      <c r="B45" s="18" t="s">
        <v>117</v>
      </c>
      <c r="C45" s="289">
        <f t="shared" si="0"/>
        <v>219100</v>
      </c>
      <c r="D45" s="291">
        <v>219100</v>
      </c>
      <c r="E45" s="289"/>
      <c r="F45" s="289"/>
    </row>
    <row r="46" spans="1:6" s="9" customFormat="1" ht="21" customHeight="1">
      <c r="A46" s="288">
        <v>18030200</v>
      </c>
      <c r="B46" s="18" t="s">
        <v>118</v>
      </c>
      <c r="C46" s="289">
        <f t="shared" si="0"/>
        <v>209500</v>
      </c>
      <c r="D46" s="291">
        <v>209500</v>
      </c>
      <c r="E46" s="289"/>
      <c r="F46" s="289"/>
    </row>
    <row r="47" spans="1:6" s="13" customFormat="1" ht="24.75" customHeight="1">
      <c r="A47" s="285">
        <v>18050000</v>
      </c>
      <c r="B47" s="20" t="s">
        <v>119</v>
      </c>
      <c r="C47" s="286">
        <f t="shared" si="0"/>
        <v>109032300</v>
      </c>
      <c r="D47" s="287">
        <f>D48+D49+D50</f>
        <v>109032300</v>
      </c>
      <c r="E47" s="286"/>
      <c r="F47" s="286"/>
    </row>
    <row r="48" spans="1:6" s="9" customFormat="1" ht="24.75" customHeight="1">
      <c r="A48" s="288">
        <v>18050300</v>
      </c>
      <c r="B48" s="18" t="s">
        <v>120</v>
      </c>
      <c r="C48" s="289">
        <f t="shared" si="0"/>
        <v>14892400</v>
      </c>
      <c r="D48" s="291">
        <v>14892400</v>
      </c>
      <c r="E48" s="289"/>
      <c r="F48" s="289"/>
    </row>
    <row r="49" spans="1:6" s="9" customFormat="1" ht="24.75" customHeight="1">
      <c r="A49" s="288">
        <v>18050400</v>
      </c>
      <c r="B49" s="18" t="s">
        <v>121</v>
      </c>
      <c r="C49" s="289">
        <f t="shared" si="0"/>
        <v>93253300</v>
      </c>
      <c r="D49" s="291">
        <v>93253300</v>
      </c>
      <c r="E49" s="289"/>
      <c r="F49" s="289"/>
    </row>
    <row r="50" spans="1:6" ht="57" customHeight="1">
      <c r="A50" s="288">
        <v>18050500</v>
      </c>
      <c r="B50" s="275" t="s">
        <v>372</v>
      </c>
      <c r="C50" s="289">
        <f t="shared" si="0"/>
        <v>886600</v>
      </c>
      <c r="D50" s="291">
        <v>886600</v>
      </c>
      <c r="E50" s="289"/>
      <c r="F50" s="289"/>
    </row>
    <row r="51" spans="1:6" s="13" customFormat="1" ht="25.5" customHeight="1">
      <c r="A51" s="285">
        <v>19000000</v>
      </c>
      <c r="B51" s="20" t="s">
        <v>122</v>
      </c>
      <c r="C51" s="286">
        <f t="shared" si="0"/>
        <v>159600</v>
      </c>
      <c r="D51" s="287">
        <f>D52</f>
        <v>0</v>
      </c>
      <c r="E51" s="287">
        <f>E52</f>
        <v>159600</v>
      </c>
      <c r="F51" s="286"/>
    </row>
    <row r="52" spans="1:6" s="13" customFormat="1" ht="24.75" customHeight="1">
      <c r="A52" s="285">
        <v>19010000</v>
      </c>
      <c r="B52" s="20" t="s">
        <v>123</v>
      </c>
      <c r="C52" s="286">
        <f t="shared" si="0"/>
        <v>159600</v>
      </c>
      <c r="D52" s="287">
        <f>D53+D54+D55</f>
        <v>0</v>
      </c>
      <c r="E52" s="287">
        <f>E53+E54+E55</f>
        <v>159600</v>
      </c>
      <c r="F52" s="286"/>
    </row>
    <row r="53" spans="1:6" ht="36.75" customHeight="1">
      <c r="A53" s="288">
        <v>19010100</v>
      </c>
      <c r="B53" s="18" t="s">
        <v>124</v>
      </c>
      <c r="C53" s="289">
        <f t="shared" si="0"/>
        <v>47300</v>
      </c>
      <c r="D53" s="291"/>
      <c r="E53" s="289">
        <v>47300</v>
      </c>
      <c r="F53" s="289"/>
    </row>
    <row r="54" spans="1:6" ht="35.25" customHeight="1">
      <c r="A54" s="288">
        <v>19010200</v>
      </c>
      <c r="B54" s="18" t="s">
        <v>125</v>
      </c>
      <c r="C54" s="289">
        <f t="shared" si="0"/>
        <v>78800</v>
      </c>
      <c r="D54" s="291"/>
      <c r="E54" s="289">
        <v>78800</v>
      </c>
      <c r="F54" s="289"/>
    </row>
    <row r="55" spans="1:6" ht="45" customHeight="1">
      <c r="A55" s="288">
        <v>19010300</v>
      </c>
      <c r="B55" s="18" t="s">
        <v>126</v>
      </c>
      <c r="C55" s="289">
        <f t="shared" si="0"/>
        <v>33500</v>
      </c>
      <c r="D55" s="291"/>
      <c r="E55" s="289">
        <v>33500</v>
      </c>
      <c r="F55" s="289"/>
    </row>
    <row r="56" spans="1:6" s="13" customFormat="1" ht="24.75" customHeight="1">
      <c r="A56" s="285">
        <v>20000000</v>
      </c>
      <c r="B56" s="20" t="s">
        <v>127</v>
      </c>
      <c r="C56" s="286">
        <f t="shared" si="0"/>
        <v>56574144</v>
      </c>
      <c r="D56" s="287">
        <f>D57+D67+D79+D85</f>
        <v>13800000</v>
      </c>
      <c r="E56" s="287">
        <f>E57+E67+E79+E85</f>
        <v>42774144</v>
      </c>
      <c r="F56" s="287">
        <f>F57+F67+F79+F85</f>
        <v>0</v>
      </c>
    </row>
    <row r="57" spans="1:6" s="13" customFormat="1" ht="24.75" customHeight="1">
      <c r="A57" s="285">
        <v>21000000</v>
      </c>
      <c r="B57" s="20" t="s">
        <v>128</v>
      </c>
      <c r="C57" s="286">
        <f t="shared" si="0"/>
        <v>6144700</v>
      </c>
      <c r="D57" s="287">
        <f>D58+D61+D60</f>
        <v>5944700</v>
      </c>
      <c r="E57" s="287">
        <f>E61+E66</f>
        <v>200000</v>
      </c>
      <c r="F57" s="287">
        <f>F61+F66</f>
        <v>0</v>
      </c>
    </row>
    <row r="58" spans="1:6" s="13" customFormat="1" ht="80.25" customHeight="1">
      <c r="A58" s="262">
        <v>21010000</v>
      </c>
      <c r="B58" s="20" t="s">
        <v>129</v>
      </c>
      <c r="C58" s="286">
        <f t="shared" si="0"/>
        <v>2486100</v>
      </c>
      <c r="D58" s="287">
        <f>D59</f>
        <v>2486100</v>
      </c>
      <c r="E58" s="287"/>
      <c r="F58" s="287"/>
    </row>
    <row r="59" spans="1:6" ht="39" customHeight="1">
      <c r="A59" s="288">
        <v>21010300</v>
      </c>
      <c r="B59" s="18" t="s">
        <v>130</v>
      </c>
      <c r="C59" s="289">
        <f t="shared" si="0"/>
        <v>2486100</v>
      </c>
      <c r="D59" s="291">
        <v>2486100</v>
      </c>
      <c r="E59" s="291"/>
      <c r="F59" s="291"/>
    </row>
    <row r="60" spans="1:17" s="4" customFormat="1" ht="39" customHeight="1" hidden="1">
      <c r="A60" s="285">
        <v>21050000</v>
      </c>
      <c r="B60" s="4" t="s">
        <v>287</v>
      </c>
      <c r="C60" s="289">
        <f t="shared" si="0"/>
        <v>0</v>
      </c>
      <c r="D60" s="287"/>
      <c r="E60" s="287"/>
      <c r="F60" s="287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6" s="13" customFormat="1" ht="20.25" customHeight="1">
      <c r="A61" s="285">
        <v>21080000</v>
      </c>
      <c r="B61" s="20" t="s">
        <v>131</v>
      </c>
      <c r="C61" s="286">
        <f t="shared" si="0"/>
        <v>3458600</v>
      </c>
      <c r="D61" s="287">
        <f>D62+D63+D64+D65</f>
        <v>3458600</v>
      </c>
      <c r="E61" s="287">
        <f>E62+E63+E64</f>
        <v>0</v>
      </c>
      <c r="F61" s="287">
        <f>F62+F63+F64</f>
        <v>0</v>
      </c>
    </row>
    <row r="62" spans="1:6" ht="48" customHeight="1" hidden="1">
      <c r="A62" s="288">
        <v>21080900</v>
      </c>
      <c r="B62" s="18" t="s">
        <v>132</v>
      </c>
      <c r="C62" s="286">
        <f t="shared" si="0"/>
        <v>0</v>
      </c>
      <c r="D62" s="291"/>
      <c r="E62" s="289"/>
      <c r="F62" s="289"/>
    </row>
    <row r="63" spans="1:6" ht="30" customHeight="1">
      <c r="A63" s="288">
        <v>21081100</v>
      </c>
      <c r="B63" s="18" t="s">
        <v>133</v>
      </c>
      <c r="C63" s="289">
        <f t="shared" si="0"/>
        <v>2258500</v>
      </c>
      <c r="D63" s="291">
        <v>2258500</v>
      </c>
      <c r="E63" s="289"/>
      <c r="F63" s="289"/>
    </row>
    <row r="64" spans="1:6" ht="40.5" customHeight="1">
      <c r="A64" s="288">
        <v>21081500</v>
      </c>
      <c r="B64" s="18" t="s">
        <v>134</v>
      </c>
      <c r="C64" s="289">
        <f t="shared" si="0"/>
        <v>200100</v>
      </c>
      <c r="D64" s="291">
        <v>200100</v>
      </c>
      <c r="E64" s="289"/>
      <c r="F64" s="289"/>
    </row>
    <row r="65" spans="1:6" ht="40.5" customHeight="1">
      <c r="A65" s="288">
        <v>21081700</v>
      </c>
      <c r="B65" s="18" t="s">
        <v>288</v>
      </c>
      <c r="C65" s="289">
        <f t="shared" si="0"/>
        <v>1000000</v>
      </c>
      <c r="D65" s="291">
        <v>1000000</v>
      </c>
      <c r="E65" s="289"/>
      <c r="F65" s="289"/>
    </row>
    <row r="66" spans="1:6" s="13" customFormat="1" ht="48.75" customHeight="1">
      <c r="A66" s="285">
        <v>21110000</v>
      </c>
      <c r="B66" s="20" t="s">
        <v>135</v>
      </c>
      <c r="C66" s="286">
        <f t="shared" si="0"/>
        <v>200000</v>
      </c>
      <c r="D66" s="287"/>
      <c r="E66" s="286">
        <v>200000</v>
      </c>
      <c r="F66" s="286"/>
    </row>
    <row r="67" spans="1:6" s="13" customFormat="1" ht="37.5" customHeight="1">
      <c r="A67" s="285">
        <v>22000000</v>
      </c>
      <c r="B67" s="20" t="s">
        <v>136</v>
      </c>
      <c r="C67" s="286">
        <f t="shared" si="0"/>
        <v>7045300</v>
      </c>
      <c r="D67" s="287">
        <f>D68+D73+D75</f>
        <v>7045300</v>
      </c>
      <c r="E67" s="287"/>
      <c r="F67" s="287"/>
    </row>
    <row r="68" spans="1:6" s="13" customFormat="1" ht="37.5" customHeight="1">
      <c r="A68" s="285">
        <v>22010000</v>
      </c>
      <c r="B68" s="20" t="s">
        <v>137</v>
      </c>
      <c r="C68" s="286">
        <f t="shared" si="0"/>
        <v>6108000</v>
      </c>
      <c r="D68" s="287">
        <f>D69+D70+D71+D72</f>
        <v>6108000</v>
      </c>
      <c r="E68" s="287"/>
      <c r="F68" s="287"/>
    </row>
    <row r="69" spans="1:6" s="9" customFormat="1" ht="37.5" customHeight="1">
      <c r="A69" s="288">
        <v>22010300</v>
      </c>
      <c r="B69" s="18" t="s">
        <v>138</v>
      </c>
      <c r="C69" s="289">
        <f t="shared" si="0"/>
        <v>253800</v>
      </c>
      <c r="D69" s="291">
        <v>253800</v>
      </c>
      <c r="E69" s="291"/>
      <c r="F69" s="291"/>
    </row>
    <row r="70" spans="1:6" s="9" customFormat="1" ht="29.25" customHeight="1">
      <c r="A70" s="288">
        <v>22012500</v>
      </c>
      <c r="B70" s="18" t="s">
        <v>139</v>
      </c>
      <c r="C70" s="289">
        <f t="shared" si="0"/>
        <v>4925400</v>
      </c>
      <c r="D70" s="291">
        <v>4925400</v>
      </c>
      <c r="E70" s="291"/>
      <c r="F70" s="291"/>
    </row>
    <row r="71" spans="1:6" s="9" customFormat="1" ht="37.5" customHeight="1">
      <c r="A71" s="288">
        <v>22012600</v>
      </c>
      <c r="B71" s="18" t="s">
        <v>140</v>
      </c>
      <c r="C71" s="289">
        <f t="shared" si="0"/>
        <v>928800</v>
      </c>
      <c r="D71" s="291">
        <v>928800</v>
      </c>
      <c r="E71" s="291"/>
      <c r="F71" s="291"/>
    </row>
    <row r="72" spans="1:6" s="9" customFormat="1" ht="86.25" customHeight="1" hidden="1">
      <c r="A72" s="288">
        <v>22012900</v>
      </c>
      <c r="B72" s="18" t="s">
        <v>141</v>
      </c>
      <c r="C72" s="289">
        <f t="shared" si="0"/>
        <v>0</v>
      </c>
      <c r="D72" s="291"/>
      <c r="E72" s="289"/>
      <c r="F72" s="289"/>
    </row>
    <row r="73" spans="1:6" s="13" customFormat="1" ht="37.5" customHeight="1">
      <c r="A73" s="285">
        <v>22080000</v>
      </c>
      <c r="B73" s="20" t="s">
        <v>142</v>
      </c>
      <c r="C73" s="286">
        <f t="shared" si="0"/>
        <v>750000</v>
      </c>
      <c r="D73" s="287">
        <f>D74</f>
        <v>750000</v>
      </c>
      <c r="E73" s="286"/>
      <c r="F73" s="286"/>
    </row>
    <row r="74" spans="1:6" s="9" customFormat="1" ht="42.75" customHeight="1">
      <c r="A74" s="288">
        <v>22080400</v>
      </c>
      <c r="B74" s="18" t="s">
        <v>143</v>
      </c>
      <c r="C74" s="289">
        <f t="shared" si="0"/>
        <v>750000</v>
      </c>
      <c r="D74" s="291">
        <v>750000</v>
      </c>
      <c r="E74" s="289"/>
      <c r="F74" s="289"/>
    </row>
    <row r="75" spans="1:6" s="13" customFormat="1" ht="24.75" customHeight="1">
      <c r="A75" s="285">
        <v>22090000</v>
      </c>
      <c r="B75" s="20" t="s">
        <v>144</v>
      </c>
      <c r="C75" s="286">
        <f t="shared" si="0"/>
        <v>187300</v>
      </c>
      <c r="D75" s="287">
        <f>D76+D77</f>
        <v>187300</v>
      </c>
      <c r="E75" s="286"/>
      <c r="F75" s="286"/>
    </row>
    <row r="76" spans="1:6" s="9" customFormat="1" ht="34.5" customHeight="1">
      <c r="A76" s="288">
        <v>22090100</v>
      </c>
      <c r="B76" s="18" t="s">
        <v>145</v>
      </c>
      <c r="C76" s="289">
        <f t="shared" si="0"/>
        <v>137300</v>
      </c>
      <c r="D76" s="291">
        <v>137300</v>
      </c>
      <c r="E76" s="289"/>
      <c r="F76" s="289"/>
    </row>
    <row r="77" spans="1:6" s="9" customFormat="1" ht="34.5" customHeight="1">
      <c r="A77" s="288">
        <v>22090400</v>
      </c>
      <c r="B77" s="18" t="s">
        <v>146</v>
      </c>
      <c r="C77" s="289">
        <f t="shared" si="0"/>
        <v>50000</v>
      </c>
      <c r="D77" s="291">
        <v>50000</v>
      </c>
      <c r="E77" s="289"/>
      <c r="F77" s="289"/>
    </row>
    <row r="78" spans="1:6" s="9" customFormat="1" ht="52.5" customHeight="1" hidden="1">
      <c r="A78" s="288"/>
      <c r="B78" s="18"/>
      <c r="C78" s="286">
        <f t="shared" si="0"/>
        <v>0</v>
      </c>
      <c r="D78" s="291"/>
      <c r="E78" s="289"/>
      <c r="F78" s="289"/>
    </row>
    <row r="79" spans="1:6" s="13" customFormat="1" ht="24.75" customHeight="1">
      <c r="A79" s="285">
        <v>24000000</v>
      </c>
      <c r="B79" s="20" t="s">
        <v>147</v>
      </c>
      <c r="C79" s="286">
        <f t="shared" si="0"/>
        <v>811000</v>
      </c>
      <c r="D79" s="287">
        <f>D80+D84</f>
        <v>810000</v>
      </c>
      <c r="E79" s="287">
        <f>E80+E84</f>
        <v>1000</v>
      </c>
      <c r="F79" s="287">
        <f>F80+F84</f>
        <v>0</v>
      </c>
    </row>
    <row r="80" spans="1:6" s="13" customFormat="1" ht="24.75" customHeight="1">
      <c r="A80" s="285">
        <v>24060000</v>
      </c>
      <c r="B80" s="20" t="s">
        <v>148</v>
      </c>
      <c r="C80" s="286">
        <f t="shared" si="0"/>
        <v>811000</v>
      </c>
      <c r="D80" s="287">
        <f>D81+D82+D83</f>
        <v>810000</v>
      </c>
      <c r="E80" s="287">
        <f>E81+E82</f>
        <v>1000</v>
      </c>
      <c r="F80" s="287">
        <f>F81+F82</f>
        <v>0</v>
      </c>
    </row>
    <row r="81" spans="1:6" s="274" customFormat="1" ht="24.75" customHeight="1">
      <c r="A81" s="294">
        <v>24060300</v>
      </c>
      <c r="B81" s="295" t="s">
        <v>148</v>
      </c>
      <c r="C81" s="296">
        <f aca="true" t="shared" si="1" ref="C81:C109">D81+E81</f>
        <v>660000</v>
      </c>
      <c r="D81" s="297">
        <v>660000</v>
      </c>
      <c r="E81" s="296"/>
      <c r="F81" s="296"/>
    </row>
    <row r="82" spans="1:6" s="9" customFormat="1" ht="50.25" customHeight="1">
      <c r="A82" s="288">
        <v>24062100</v>
      </c>
      <c r="B82" s="18" t="s">
        <v>149</v>
      </c>
      <c r="C82" s="289">
        <f t="shared" si="1"/>
        <v>1000</v>
      </c>
      <c r="D82" s="291"/>
      <c r="E82" s="289">
        <v>1000</v>
      </c>
      <c r="F82" s="289"/>
    </row>
    <row r="83" spans="1:6" s="9" customFormat="1" ht="113.25" customHeight="1">
      <c r="A83" s="288">
        <v>24062200</v>
      </c>
      <c r="B83" s="18" t="s">
        <v>262</v>
      </c>
      <c r="C83" s="289">
        <f t="shared" si="1"/>
        <v>150000</v>
      </c>
      <c r="D83" s="291">
        <v>150000</v>
      </c>
      <c r="E83" s="289"/>
      <c r="F83" s="289"/>
    </row>
    <row r="84" spans="1:6" s="273" customFormat="1" ht="39.75" customHeight="1" hidden="1">
      <c r="A84" s="262">
        <v>24170000</v>
      </c>
      <c r="B84" s="85" t="s">
        <v>150</v>
      </c>
      <c r="C84" s="299">
        <f t="shared" si="1"/>
        <v>0</v>
      </c>
      <c r="D84" s="300"/>
      <c r="E84" s="299"/>
      <c r="F84" s="299">
        <f>E84</f>
        <v>0</v>
      </c>
    </row>
    <row r="85" spans="1:6" s="273" customFormat="1" ht="24.75" customHeight="1">
      <c r="A85" s="298">
        <v>25000000</v>
      </c>
      <c r="B85" s="85" t="s">
        <v>151</v>
      </c>
      <c r="C85" s="299">
        <f t="shared" si="1"/>
        <v>42573144</v>
      </c>
      <c r="D85" s="300"/>
      <c r="E85" s="299">
        <f>E86</f>
        <v>42573144</v>
      </c>
      <c r="F85" s="299"/>
    </row>
    <row r="86" spans="1:6" s="273" customFormat="1" ht="36" customHeight="1">
      <c r="A86" s="298">
        <v>25010000</v>
      </c>
      <c r="B86" s="85" t="s">
        <v>152</v>
      </c>
      <c r="C86" s="299">
        <f t="shared" si="1"/>
        <v>42573144</v>
      </c>
      <c r="D86" s="300"/>
      <c r="E86" s="299">
        <f>E87+E88+E89</f>
        <v>42573144</v>
      </c>
      <c r="F86" s="299"/>
    </row>
    <row r="87" spans="1:6" s="274" customFormat="1" ht="36" customHeight="1">
      <c r="A87" s="261">
        <v>25010100</v>
      </c>
      <c r="B87" s="260" t="s">
        <v>153</v>
      </c>
      <c r="C87" s="296">
        <f t="shared" si="1"/>
        <v>41830986</v>
      </c>
      <c r="D87" s="297"/>
      <c r="E87" s="169">
        <v>41830986</v>
      </c>
      <c r="F87" s="296"/>
    </row>
    <row r="88" spans="1:6" s="274" customFormat="1" ht="24.75" customHeight="1">
      <c r="A88" s="261">
        <v>25010300</v>
      </c>
      <c r="B88" s="260" t="s">
        <v>154</v>
      </c>
      <c r="C88" s="296">
        <f t="shared" si="1"/>
        <v>742158</v>
      </c>
      <c r="D88" s="297"/>
      <c r="E88" s="296">
        <v>742158</v>
      </c>
      <c r="F88" s="296"/>
    </row>
    <row r="89" spans="1:6" s="274" customFormat="1" ht="37.5" customHeight="1" hidden="1">
      <c r="A89" s="261">
        <v>25010400</v>
      </c>
      <c r="B89" s="295" t="s">
        <v>263</v>
      </c>
      <c r="C89" s="296">
        <f t="shared" si="1"/>
        <v>0</v>
      </c>
      <c r="D89" s="297"/>
      <c r="E89" s="296"/>
      <c r="F89" s="296"/>
    </row>
    <row r="90" spans="1:6" s="273" customFormat="1" ht="24.75" customHeight="1">
      <c r="A90" s="298">
        <v>30000000</v>
      </c>
      <c r="B90" s="85" t="s">
        <v>155</v>
      </c>
      <c r="C90" s="299">
        <f t="shared" si="1"/>
        <v>45000000</v>
      </c>
      <c r="D90" s="300"/>
      <c r="E90" s="299">
        <f>E91+E93</f>
        <v>45000000</v>
      </c>
      <c r="F90" s="299">
        <f>F91+F93</f>
        <v>45000000</v>
      </c>
    </row>
    <row r="91" spans="1:6" s="13" customFormat="1" ht="24.75" customHeight="1">
      <c r="A91" s="285">
        <v>31000000</v>
      </c>
      <c r="B91" s="20" t="s">
        <v>156</v>
      </c>
      <c r="C91" s="286">
        <f t="shared" si="1"/>
        <v>13000000</v>
      </c>
      <c r="D91" s="287"/>
      <c r="E91" s="286">
        <f>E92</f>
        <v>13000000</v>
      </c>
      <c r="F91" s="286">
        <f>E91</f>
        <v>13000000</v>
      </c>
    </row>
    <row r="92" spans="1:6" s="9" customFormat="1" ht="36.75" customHeight="1">
      <c r="A92" s="288">
        <v>31030000</v>
      </c>
      <c r="B92" s="18" t="s">
        <v>157</v>
      </c>
      <c r="C92" s="289">
        <f t="shared" si="1"/>
        <v>13000000</v>
      </c>
      <c r="D92" s="291"/>
      <c r="E92" s="289">
        <v>13000000</v>
      </c>
      <c r="F92" s="289">
        <f>E92</f>
        <v>13000000</v>
      </c>
    </row>
    <row r="93" spans="1:6" s="13" customFormat="1" ht="24.75" customHeight="1">
      <c r="A93" s="285">
        <v>33000000</v>
      </c>
      <c r="B93" s="20" t="s">
        <v>158</v>
      </c>
      <c r="C93" s="286">
        <f t="shared" si="1"/>
        <v>32000000</v>
      </c>
      <c r="D93" s="287"/>
      <c r="E93" s="286">
        <f>E94</f>
        <v>32000000</v>
      </c>
      <c r="F93" s="286">
        <f>E93</f>
        <v>32000000</v>
      </c>
    </row>
    <row r="94" spans="1:6" s="13" customFormat="1" ht="24.75" customHeight="1">
      <c r="A94" s="285">
        <v>33010000</v>
      </c>
      <c r="B94" s="20" t="s">
        <v>159</v>
      </c>
      <c r="C94" s="286">
        <f t="shared" si="1"/>
        <v>32000000</v>
      </c>
      <c r="D94" s="287"/>
      <c r="E94" s="286">
        <f>E95+E96</f>
        <v>32000000</v>
      </c>
      <c r="F94" s="286">
        <f>F95+F96</f>
        <v>32000000</v>
      </c>
    </row>
    <row r="95" spans="1:6" s="9" customFormat="1" ht="51" customHeight="1">
      <c r="A95" s="288">
        <v>33010100</v>
      </c>
      <c r="B95" s="18" t="s">
        <v>160</v>
      </c>
      <c r="C95" s="289">
        <f t="shared" si="1"/>
        <v>32000000</v>
      </c>
      <c r="D95" s="291"/>
      <c r="E95" s="289">
        <v>32000000</v>
      </c>
      <c r="F95" s="289">
        <f>E95</f>
        <v>32000000</v>
      </c>
    </row>
    <row r="96" spans="1:6" s="9" customFormat="1" ht="63.75" customHeight="1" hidden="1">
      <c r="A96" s="288">
        <v>33010200</v>
      </c>
      <c r="B96" s="18" t="s">
        <v>161</v>
      </c>
      <c r="C96" s="286">
        <f t="shared" si="1"/>
        <v>0</v>
      </c>
      <c r="D96" s="291"/>
      <c r="E96" s="289"/>
      <c r="F96" s="289">
        <f>E96</f>
        <v>0</v>
      </c>
    </row>
    <row r="97" spans="1:6" s="13" customFormat="1" ht="24.75" customHeight="1">
      <c r="A97" s="285">
        <v>50000000</v>
      </c>
      <c r="B97" s="20" t="s">
        <v>162</v>
      </c>
      <c r="C97" s="286">
        <f t="shared" si="1"/>
        <v>415500</v>
      </c>
      <c r="D97" s="287"/>
      <c r="E97" s="286">
        <f>E98</f>
        <v>415500</v>
      </c>
      <c r="F97" s="286"/>
    </row>
    <row r="98" spans="1:6" ht="48" customHeight="1">
      <c r="A98" s="288">
        <v>50110000</v>
      </c>
      <c r="B98" s="18" t="s">
        <v>163</v>
      </c>
      <c r="C98" s="289">
        <f t="shared" si="1"/>
        <v>415500</v>
      </c>
      <c r="D98" s="291"/>
      <c r="E98" s="289">
        <v>415500</v>
      </c>
      <c r="F98" s="289"/>
    </row>
    <row r="99" spans="1:9" s="13" customFormat="1" ht="24.75" customHeight="1">
      <c r="A99" s="285"/>
      <c r="B99" s="20" t="s">
        <v>289</v>
      </c>
      <c r="C99" s="286">
        <f t="shared" si="1"/>
        <v>840190644</v>
      </c>
      <c r="D99" s="287">
        <f>D11+D56+D90+D97</f>
        <v>751841400</v>
      </c>
      <c r="E99" s="287">
        <f>E11+E56+E90+E97</f>
        <v>88349244</v>
      </c>
      <c r="F99" s="287">
        <f>F11+F56+F90+F97</f>
        <v>45000000</v>
      </c>
      <c r="I99" s="46"/>
    </row>
    <row r="100" spans="1:6" s="13" customFormat="1" ht="21.75" customHeight="1">
      <c r="A100" s="285">
        <v>40000000</v>
      </c>
      <c r="B100" s="20" t="s">
        <v>165</v>
      </c>
      <c r="C100" s="286">
        <f t="shared" si="1"/>
        <v>259096300</v>
      </c>
      <c r="D100" s="287">
        <f>D101</f>
        <v>259096300</v>
      </c>
      <c r="E100" s="287">
        <f>E101</f>
        <v>0</v>
      </c>
      <c r="F100" s="287"/>
    </row>
    <row r="101" spans="1:6" s="13" customFormat="1" ht="17.25" customHeight="1">
      <c r="A101" s="285">
        <v>41000000</v>
      </c>
      <c r="B101" s="20" t="s">
        <v>166</v>
      </c>
      <c r="C101" s="286">
        <f t="shared" si="1"/>
        <v>259096300</v>
      </c>
      <c r="D101" s="287">
        <f>D102+D106+D104</f>
        <v>259096300</v>
      </c>
      <c r="E101" s="287">
        <f>E102</f>
        <v>0</v>
      </c>
      <c r="F101" s="287"/>
    </row>
    <row r="102" spans="1:6" s="13" customFormat="1" ht="18.75" customHeight="1">
      <c r="A102" s="285">
        <v>41030000</v>
      </c>
      <c r="B102" s="51" t="s">
        <v>30</v>
      </c>
      <c r="C102" s="286">
        <f t="shared" si="1"/>
        <v>246832700</v>
      </c>
      <c r="D102" s="287">
        <f>D103</f>
        <v>246832700</v>
      </c>
      <c r="E102" s="287">
        <f>SUM(E103:E109)</f>
        <v>0</v>
      </c>
      <c r="F102" s="286"/>
    </row>
    <row r="103" spans="1:6" ht="27" customHeight="1">
      <c r="A103" s="288">
        <v>41033900</v>
      </c>
      <c r="B103" s="18" t="s">
        <v>167</v>
      </c>
      <c r="C103" s="289">
        <f t="shared" si="1"/>
        <v>246832700</v>
      </c>
      <c r="D103" s="291">
        <v>246832700</v>
      </c>
      <c r="E103" s="289"/>
      <c r="F103" s="289"/>
    </row>
    <row r="104" spans="1:17" s="4" customFormat="1" ht="32.25" customHeight="1">
      <c r="A104" s="285">
        <v>41040000</v>
      </c>
      <c r="B104" s="259" t="s">
        <v>456</v>
      </c>
      <c r="C104" s="286">
        <f t="shared" si="1"/>
        <v>4285000</v>
      </c>
      <c r="D104" s="287">
        <f>D105</f>
        <v>4285000</v>
      </c>
      <c r="E104" s="286"/>
      <c r="F104" s="286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6" ht="55.5" customHeight="1">
      <c r="A105" s="288">
        <v>41040200</v>
      </c>
      <c r="B105" s="18" t="s">
        <v>457</v>
      </c>
      <c r="C105" s="289">
        <f t="shared" si="1"/>
        <v>4285000</v>
      </c>
      <c r="D105" s="291">
        <v>4285000</v>
      </c>
      <c r="E105" s="289"/>
      <c r="F105" s="289"/>
    </row>
    <row r="106" spans="1:6" s="13" customFormat="1" ht="24" customHeight="1">
      <c r="A106" s="285">
        <v>41050000</v>
      </c>
      <c r="B106" s="51" t="s">
        <v>31</v>
      </c>
      <c r="C106" s="286">
        <f t="shared" si="1"/>
        <v>7978600</v>
      </c>
      <c r="D106" s="287">
        <f>SUM(D107:D109)</f>
        <v>7978600</v>
      </c>
      <c r="E106" s="286"/>
      <c r="F106" s="286"/>
    </row>
    <row r="107" spans="1:9" ht="51" customHeight="1">
      <c r="A107" s="288">
        <v>41051000</v>
      </c>
      <c r="B107" s="88" t="s">
        <v>290</v>
      </c>
      <c r="C107" s="86">
        <f t="shared" si="1"/>
        <v>3079000</v>
      </c>
      <c r="D107" s="87">
        <v>3079000</v>
      </c>
      <c r="E107" s="86"/>
      <c r="F107" s="86"/>
      <c r="I107" s="17"/>
    </row>
    <row r="108" spans="1:6" ht="52.5" customHeight="1">
      <c r="A108" s="288">
        <v>41051200</v>
      </c>
      <c r="B108" s="88" t="s">
        <v>291</v>
      </c>
      <c r="C108" s="289">
        <f t="shared" si="1"/>
        <v>2657400</v>
      </c>
      <c r="D108" s="291">
        <v>2657400</v>
      </c>
      <c r="E108" s="289"/>
      <c r="F108" s="289"/>
    </row>
    <row r="109" spans="1:6" ht="62.25" customHeight="1">
      <c r="A109" s="288">
        <v>41055000</v>
      </c>
      <c r="B109" s="18" t="s">
        <v>458</v>
      </c>
      <c r="C109" s="289">
        <f t="shared" si="1"/>
        <v>2242200</v>
      </c>
      <c r="D109" s="297">
        <v>2242200</v>
      </c>
      <c r="E109" s="289"/>
      <c r="F109" s="289"/>
    </row>
    <row r="110" spans="1:6" s="55" customFormat="1" ht="34.5" customHeight="1">
      <c r="A110" s="301"/>
      <c r="B110" s="26" t="s">
        <v>164</v>
      </c>
      <c r="C110" s="54">
        <f>D110+E110</f>
        <v>1099286944</v>
      </c>
      <c r="D110" s="27">
        <f>D99+D100</f>
        <v>1010937700</v>
      </c>
      <c r="E110" s="27">
        <f>E99+E100</f>
        <v>88349244</v>
      </c>
      <c r="F110" s="27">
        <f>F99+F100</f>
        <v>45000000</v>
      </c>
    </row>
    <row r="114" spans="1:17" ht="15.75">
      <c r="A114" s="1"/>
      <c r="B114" s="634" t="s">
        <v>90</v>
      </c>
      <c r="C114" s="634"/>
      <c r="D114" s="1"/>
      <c r="E114" s="1"/>
      <c r="F114" s="1" t="s">
        <v>419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6" ht="15.75">
      <c r="E116" s="17"/>
    </row>
  </sheetData>
  <sheetProtection/>
  <mergeCells count="11">
    <mergeCell ref="D8:D9"/>
    <mergeCell ref="E8:F8"/>
    <mergeCell ref="B114:C114"/>
    <mergeCell ref="C1:F1"/>
    <mergeCell ref="A3:F3"/>
    <mergeCell ref="A4:F4"/>
    <mergeCell ref="A5:F5"/>
    <mergeCell ref="A6:F6"/>
    <mergeCell ref="A8:A9"/>
    <mergeCell ref="B8:B9"/>
    <mergeCell ref="C8:C9"/>
  </mergeCells>
  <printOptions horizontalCentered="1"/>
  <pageMargins left="0.31496062992125984" right="0.11811023622047245" top="0.1968503937007874" bottom="0.03937007874015748" header="0.31496062992125984" footer="0.31496062992125984"/>
  <pageSetup fitToHeight="5" horizontalDpi="600" verticalDpi="600" orientation="portrait" paperSize="9" scale="52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view="pageBreakPreview" zoomScaleNormal="85" zoomScaleSheetLayoutView="100" zoomScalePageLayoutView="0" workbookViewId="0" topLeftCell="A31">
      <selection activeCell="E12" sqref="E12"/>
    </sheetView>
  </sheetViews>
  <sheetFormatPr defaultColWidth="8.875" defaultRowHeight="12.75"/>
  <cols>
    <col min="1" max="1" width="8.875" style="1" customWidth="1"/>
    <col min="2" max="2" width="11.25390625" style="1" customWidth="1"/>
    <col min="3" max="3" width="33.625" style="1" customWidth="1"/>
    <col min="4" max="4" width="14.75390625" style="1" customWidth="1"/>
    <col min="5" max="5" width="17.875" style="1" bestFit="1" customWidth="1"/>
    <col min="6" max="6" width="23.875" style="1" customWidth="1"/>
    <col min="7" max="7" width="23.25390625" style="1" customWidth="1"/>
    <col min="8" max="9" width="8.875" style="1" customWidth="1"/>
    <col min="10" max="10" width="13.375" style="1" bestFit="1" customWidth="1"/>
    <col min="11" max="16384" width="8.875" style="1" customWidth="1"/>
  </cols>
  <sheetData>
    <row r="1" spans="4:8" ht="94.5" customHeight="1">
      <c r="D1" s="15"/>
      <c r="E1" s="15"/>
      <c r="F1" s="645" t="s">
        <v>535</v>
      </c>
      <c r="G1" s="645"/>
      <c r="H1" s="47"/>
    </row>
    <row r="2" spans="6:7" ht="15.75">
      <c r="F2" s="115" t="s">
        <v>309</v>
      </c>
      <c r="G2" s="115"/>
    </row>
    <row r="4" spans="3:7" ht="18.75">
      <c r="C4" s="646" t="s">
        <v>560</v>
      </c>
      <c r="D4" s="646"/>
      <c r="E4" s="646"/>
      <c r="F4" s="646"/>
      <c r="G4" s="646"/>
    </row>
    <row r="5" spans="3:7" ht="15.75">
      <c r="C5" s="113"/>
      <c r="D5" s="113"/>
      <c r="E5" s="113"/>
      <c r="F5" s="113"/>
      <c r="G5" s="113"/>
    </row>
    <row r="6" spans="3:7" ht="15.75">
      <c r="C6" s="648" t="s">
        <v>365</v>
      </c>
      <c r="D6" s="648"/>
      <c r="E6" s="113"/>
      <c r="F6" s="113"/>
      <c r="G6" s="113"/>
    </row>
    <row r="7" spans="3:4" ht="15.75">
      <c r="C7" s="114" t="s">
        <v>310</v>
      </c>
      <c r="D7" s="33"/>
    </row>
    <row r="8" spans="3:7" ht="15.75">
      <c r="C8" s="114"/>
      <c r="D8" s="33"/>
      <c r="G8" s="33" t="s">
        <v>83</v>
      </c>
    </row>
    <row r="9" spans="2:7" ht="18.75" customHeight="1">
      <c r="B9" s="647" t="s">
        <v>67</v>
      </c>
      <c r="C9" s="647" t="s">
        <v>360</v>
      </c>
      <c r="D9" s="647" t="s">
        <v>267</v>
      </c>
      <c r="E9" s="647" t="s">
        <v>68</v>
      </c>
      <c r="F9" s="647" t="s">
        <v>69</v>
      </c>
      <c r="G9" s="647"/>
    </row>
    <row r="10" spans="2:7" ht="38.25">
      <c r="B10" s="647"/>
      <c r="C10" s="647"/>
      <c r="D10" s="647"/>
      <c r="E10" s="647"/>
      <c r="F10" s="119" t="s">
        <v>267</v>
      </c>
      <c r="G10" s="117" t="s">
        <v>361</v>
      </c>
    </row>
    <row r="11" spans="2:7" s="2" customFormat="1" ht="15.75">
      <c r="B11" s="21">
        <v>1</v>
      </c>
      <c r="C11" s="21">
        <f>B11+1</f>
        <v>2</v>
      </c>
      <c r="D11" s="21">
        <f>C11+1</f>
        <v>3</v>
      </c>
      <c r="E11" s="21">
        <f>D11+1</f>
        <v>4</v>
      </c>
      <c r="F11" s="21">
        <f>E11+1</f>
        <v>5</v>
      </c>
      <c r="G11" s="21">
        <f>F11+1</f>
        <v>6</v>
      </c>
    </row>
    <row r="12" spans="2:7" ht="15.75">
      <c r="B12" s="313">
        <v>200000</v>
      </c>
      <c r="C12" s="311" t="s">
        <v>84</v>
      </c>
      <c r="D12" s="309">
        <f>D17+D13</f>
        <v>14904387.0001</v>
      </c>
      <c r="E12" s="319">
        <f>E17+E13</f>
        <v>-93169920</v>
      </c>
      <c r="F12" s="319">
        <f>F17+F13</f>
        <v>108074307</v>
      </c>
      <c r="G12" s="319">
        <f>G17+G13</f>
        <v>108074307</v>
      </c>
    </row>
    <row r="13" spans="2:7" ht="31.5">
      <c r="B13" s="266">
        <v>202000</v>
      </c>
      <c r="C13" s="302" t="s">
        <v>447</v>
      </c>
      <c r="D13" s="309">
        <f>E13+F13</f>
        <v>14904387</v>
      </c>
      <c r="E13" s="319">
        <f>E14</f>
        <v>0</v>
      </c>
      <c r="F13" s="319">
        <f>F14</f>
        <v>14904387</v>
      </c>
      <c r="G13" s="319">
        <f>G14</f>
        <v>14904387</v>
      </c>
    </row>
    <row r="14" spans="2:7" ht="31.5">
      <c r="B14" s="265">
        <v>202200</v>
      </c>
      <c r="C14" s="303" t="s">
        <v>448</v>
      </c>
      <c r="D14" s="309">
        <f>E14+F14</f>
        <v>14904387</v>
      </c>
      <c r="E14" s="319"/>
      <c r="F14" s="319">
        <f>F15+F16</f>
        <v>14904387</v>
      </c>
      <c r="G14" s="319">
        <f>G15+G16</f>
        <v>14904387</v>
      </c>
    </row>
    <row r="15" spans="2:7" ht="15.75">
      <c r="B15" s="265">
        <v>202210</v>
      </c>
      <c r="C15" s="303" t="s">
        <v>449</v>
      </c>
      <c r="D15" s="309">
        <f>E15+F15</f>
        <v>22653510</v>
      </c>
      <c r="E15" s="319"/>
      <c r="F15" s="319">
        <f>G15</f>
        <v>22653510</v>
      </c>
      <c r="G15" s="319">
        <v>22653510</v>
      </c>
    </row>
    <row r="16" spans="2:7" ht="15.75">
      <c r="B16" s="265">
        <v>202220</v>
      </c>
      <c r="C16" s="303" t="s">
        <v>450</v>
      </c>
      <c r="D16" s="309">
        <f>E16+F16</f>
        <v>-7749123</v>
      </c>
      <c r="E16" s="319"/>
      <c r="F16" s="319">
        <f>G16</f>
        <v>-7749123</v>
      </c>
      <c r="G16" s="319">
        <v>-7749123</v>
      </c>
    </row>
    <row r="17" spans="2:7" ht="47.25">
      <c r="B17" s="313">
        <v>208000</v>
      </c>
      <c r="C17" s="311" t="s">
        <v>85</v>
      </c>
      <c r="D17" s="319">
        <f>D19+D18</f>
        <v>0.0001</v>
      </c>
      <c r="E17" s="319">
        <f>E19+E18</f>
        <v>-93169920</v>
      </c>
      <c r="F17" s="319">
        <f>F19+F18</f>
        <v>93169920</v>
      </c>
      <c r="G17" s="319">
        <f>G19+G18</f>
        <v>93169920</v>
      </c>
    </row>
    <row r="18" spans="2:7" ht="15.75" customHeight="1" hidden="1">
      <c r="B18" s="314">
        <v>208100</v>
      </c>
      <c r="C18" s="306" t="s">
        <v>86</v>
      </c>
      <c r="D18" s="307">
        <f>E18+F18</f>
        <v>0</v>
      </c>
      <c r="E18" s="310"/>
      <c r="F18" s="310"/>
      <c r="G18" s="310"/>
    </row>
    <row r="19" spans="2:10" ht="65.25" customHeight="1">
      <c r="B19" s="314">
        <v>208400</v>
      </c>
      <c r="C19" s="306" t="s">
        <v>87</v>
      </c>
      <c r="D19" s="307">
        <f>E19+F19+0.0001</f>
        <v>0.0001</v>
      </c>
      <c r="E19" s="308">
        <f>-('dod 1'!D110-'dod 3'!E110)</f>
        <v>-93169920</v>
      </c>
      <c r="F19" s="308">
        <f>-E19</f>
        <v>93169920</v>
      </c>
      <c r="G19" s="308">
        <f>F19</f>
        <v>93169920</v>
      </c>
      <c r="J19" s="35"/>
    </row>
    <row r="20" spans="2:10" ht="36.75" customHeight="1">
      <c r="B20" s="266">
        <v>400000</v>
      </c>
      <c r="C20" s="304" t="s">
        <v>451</v>
      </c>
      <c r="D20" s="320">
        <f>D21+D24</f>
        <v>14904387</v>
      </c>
      <c r="E20" s="320">
        <f>E21+E24</f>
        <v>0</v>
      </c>
      <c r="F20" s="320">
        <f>F21+F24</f>
        <v>14904387</v>
      </c>
      <c r="G20" s="320">
        <f>G21+G24</f>
        <v>14904387</v>
      </c>
      <c r="J20" s="35"/>
    </row>
    <row r="21" spans="2:10" ht="29.25" customHeight="1">
      <c r="B21" s="266">
        <v>401000</v>
      </c>
      <c r="C21" s="304" t="s">
        <v>452</v>
      </c>
      <c r="D21" s="320">
        <f>D22</f>
        <v>22653510</v>
      </c>
      <c r="E21" s="320">
        <f>E22</f>
        <v>0</v>
      </c>
      <c r="F21" s="320">
        <f>F22</f>
        <v>22653510</v>
      </c>
      <c r="G21" s="320">
        <f>G22</f>
        <v>22653510</v>
      </c>
      <c r="J21" s="35"/>
    </row>
    <row r="22" spans="2:10" ht="28.5" customHeight="1">
      <c r="B22" s="265">
        <v>401100</v>
      </c>
      <c r="C22" s="305" t="s">
        <v>453</v>
      </c>
      <c r="D22" s="321">
        <f>E22+F22</f>
        <v>22653510</v>
      </c>
      <c r="E22" s="322">
        <f>E23+E26</f>
        <v>0</v>
      </c>
      <c r="F22" s="322">
        <f>F23</f>
        <v>22653510</v>
      </c>
      <c r="G22" s="322">
        <f>G23</f>
        <v>22653510</v>
      </c>
      <c r="J22" s="35"/>
    </row>
    <row r="23" spans="2:10" ht="30.75" customHeight="1">
      <c r="B23" s="316">
        <v>401102</v>
      </c>
      <c r="C23" s="258" t="s">
        <v>454</v>
      </c>
      <c r="D23" s="321">
        <f>E23+F23</f>
        <v>22653510</v>
      </c>
      <c r="E23" s="323"/>
      <c r="F23" s="323">
        <f>F15</f>
        <v>22653510</v>
      </c>
      <c r="G23" s="323">
        <f>G15</f>
        <v>22653510</v>
      </c>
      <c r="J23" s="35"/>
    </row>
    <row r="24" spans="2:10" ht="30.75" customHeight="1">
      <c r="B24" s="313">
        <v>402000</v>
      </c>
      <c r="C24" s="312" t="s">
        <v>460</v>
      </c>
      <c r="D24" s="309">
        <f>E24+F24</f>
        <v>-7749123</v>
      </c>
      <c r="E24" s="319">
        <f aca="true" t="shared" si="0" ref="E24:G25">E25</f>
        <v>0</v>
      </c>
      <c r="F24" s="319">
        <f t="shared" si="0"/>
        <v>-7749123</v>
      </c>
      <c r="G24" s="319">
        <f t="shared" si="0"/>
        <v>-7749123</v>
      </c>
      <c r="J24" s="35"/>
    </row>
    <row r="25" spans="2:10" ht="30.75" customHeight="1">
      <c r="B25" s="314">
        <v>402100</v>
      </c>
      <c r="C25" s="149" t="s">
        <v>459</v>
      </c>
      <c r="D25" s="307">
        <f>E25+F25</f>
        <v>-7749123</v>
      </c>
      <c r="E25" s="310">
        <f t="shared" si="0"/>
        <v>0</v>
      </c>
      <c r="F25" s="310">
        <f t="shared" si="0"/>
        <v>-7749123</v>
      </c>
      <c r="G25" s="310">
        <f t="shared" si="0"/>
        <v>-7749123</v>
      </c>
      <c r="J25" s="35"/>
    </row>
    <row r="26" spans="2:10" ht="30.75" customHeight="1">
      <c r="B26" s="314">
        <v>402102</v>
      </c>
      <c r="C26" s="149" t="s">
        <v>454</v>
      </c>
      <c r="D26" s="307">
        <f>E26+F26</f>
        <v>-7749123</v>
      </c>
      <c r="E26" s="310"/>
      <c r="F26" s="310">
        <f>F16</f>
        <v>-7749123</v>
      </c>
      <c r="G26" s="310">
        <f>G16</f>
        <v>-7749123</v>
      </c>
      <c r="J26" s="35"/>
    </row>
    <row r="27" spans="2:7" s="4" customFormat="1" ht="31.5">
      <c r="B27" s="240">
        <v>600000</v>
      </c>
      <c r="C27" s="317" t="s">
        <v>88</v>
      </c>
      <c r="D27" s="309">
        <f>D28</f>
        <v>0.0001</v>
      </c>
      <c r="E27" s="309">
        <f>E28</f>
        <v>-93169920</v>
      </c>
      <c r="F27" s="309">
        <f>F28</f>
        <v>93169920</v>
      </c>
      <c r="G27" s="309">
        <f>G28</f>
        <v>93169920</v>
      </c>
    </row>
    <row r="28" spans="2:7" s="4" customFormat="1" ht="15.75">
      <c r="B28" s="240">
        <v>602000</v>
      </c>
      <c r="C28" s="318" t="s">
        <v>89</v>
      </c>
      <c r="D28" s="309">
        <f>D29+D30</f>
        <v>0.0001</v>
      </c>
      <c r="E28" s="309">
        <f>E29+E30</f>
        <v>-93169920</v>
      </c>
      <c r="F28" s="309">
        <f>F29+F30</f>
        <v>93169920</v>
      </c>
      <c r="G28" s="309">
        <f>G29+G30</f>
        <v>93169920</v>
      </c>
    </row>
    <row r="29" spans="2:7" ht="15.75" customHeight="1" hidden="1">
      <c r="B29" s="315">
        <v>602100</v>
      </c>
      <c r="C29" s="306" t="s">
        <v>86</v>
      </c>
      <c r="D29" s="307">
        <f>E29+F29</f>
        <v>0</v>
      </c>
      <c r="E29" s="310">
        <f aca="true" t="shared" si="1" ref="E29:G30">E18</f>
        <v>0</v>
      </c>
      <c r="F29" s="310">
        <f t="shared" si="1"/>
        <v>0</v>
      </c>
      <c r="G29" s="310">
        <f t="shared" si="1"/>
        <v>0</v>
      </c>
    </row>
    <row r="30" spans="2:7" ht="68.25" customHeight="1">
      <c r="B30" s="315">
        <v>602400</v>
      </c>
      <c r="C30" s="306" t="s">
        <v>87</v>
      </c>
      <c r="D30" s="307">
        <f>E30+F30+0.0001</f>
        <v>0.0001</v>
      </c>
      <c r="E30" s="307">
        <f t="shared" si="1"/>
        <v>-93169920</v>
      </c>
      <c r="F30" s="307">
        <f t="shared" si="1"/>
        <v>93169920</v>
      </c>
      <c r="G30" s="307">
        <f t="shared" si="1"/>
        <v>93169920</v>
      </c>
    </row>
    <row r="31" s="4" customFormat="1" ht="15.75"/>
    <row r="32" s="4" customFormat="1" ht="15.75" customHeight="1"/>
    <row r="33" s="4" customFormat="1" ht="17.25" customHeight="1"/>
    <row r="34" spans="2:6" ht="15.75">
      <c r="B34" s="106"/>
      <c r="C34" s="644" t="s">
        <v>90</v>
      </c>
      <c r="D34" s="644"/>
      <c r="F34" s="33" t="s">
        <v>419</v>
      </c>
    </row>
  </sheetData>
  <sheetProtection/>
  <mergeCells count="9">
    <mergeCell ref="C34:D34"/>
    <mergeCell ref="F1:G1"/>
    <mergeCell ref="C4:G4"/>
    <mergeCell ref="B9:B10"/>
    <mergeCell ref="C9:C10"/>
    <mergeCell ref="E9:E10"/>
    <mergeCell ref="F9:G9"/>
    <mergeCell ref="D9:D10"/>
    <mergeCell ref="C6:D6"/>
  </mergeCells>
  <printOptions/>
  <pageMargins left="0.25" right="0.21" top="0.47" bottom="0.26" header="0.22" footer="0.26"/>
  <pageSetup fitToHeight="8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3"/>
  <sheetViews>
    <sheetView showZeros="0" view="pageBreakPreview" zoomScale="70" zoomScaleNormal="70" zoomScaleSheetLayoutView="70" workbookViewId="0" topLeftCell="A94">
      <selection activeCell="K91" sqref="K91"/>
    </sheetView>
  </sheetViews>
  <sheetFormatPr defaultColWidth="9.00390625" defaultRowHeight="12.75" outlineLevelRow="1"/>
  <cols>
    <col min="1" max="1" width="16.875" style="5" customWidth="1"/>
    <col min="2" max="2" width="17.125" style="5" customWidth="1"/>
    <col min="3" max="3" width="19.75390625" style="3" customWidth="1"/>
    <col min="4" max="4" width="68.875" style="6" customWidth="1"/>
    <col min="5" max="5" width="18.375" style="23" customWidth="1"/>
    <col min="6" max="6" width="19.25390625" style="3" customWidth="1"/>
    <col min="7" max="7" width="16.125" style="3" customWidth="1"/>
    <col min="8" max="8" width="16.75390625" style="3" customWidth="1"/>
    <col min="9" max="9" width="16.875" style="3" customWidth="1"/>
    <col min="10" max="10" width="18.25390625" style="23" customWidth="1"/>
    <col min="11" max="11" width="19.125" style="3" customWidth="1"/>
    <col min="12" max="12" width="16.75390625" style="3" customWidth="1"/>
    <col min="13" max="13" width="15.00390625" style="3" customWidth="1"/>
    <col min="14" max="14" width="15.75390625" style="3" customWidth="1"/>
    <col min="15" max="15" width="17.75390625" style="3" customWidth="1"/>
    <col min="16" max="16" width="18.625" style="3" customWidth="1"/>
    <col min="17" max="17" width="13.875" style="3" bestFit="1" customWidth="1"/>
    <col min="18" max="18" width="22.125" style="3" customWidth="1"/>
    <col min="19" max="19" width="17.25390625" style="3" bestFit="1" customWidth="1"/>
    <col min="20" max="16384" width="9.125" style="3" customWidth="1"/>
  </cols>
  <sheetData>
    <row r="1" spans="1:16" ht="80.25" customHeight="1">
      <c r="A1" s="103"/>
      <c r="B1" s="103"/>
      <c r="C1" s="213"/>
      <c r="D1" s="212"/>
      <c r="E1" s="211"/>
      <c r="F1" s="213"/>
      <c r="G1" s="213"/>
      <c r="H1" s="213"/>
      <c r="I1" s="213"/>
      <c r="J1" s="211"/>
      <c r="K1" s="213"/>
      <c r="L1" s="654" t="s">
        <v>584</v>
      </c>
      <c r="M1" s="654"/>
      <c r="N1" s="654"/>
      <c r="O1" s="654"/>
      <c r="P1" s="654"/>
    </row>
    <row r="2" spans="1:16" ht="19.5" customHeight="1">
      <c r="A2" s="103"/>
      <c r="B2" s="103"/>
      <c r="C2" s="213"/>
      <c r="D2" s="212"/>
      <c r="E2" s="211"/>
      <c r="F2" s="213"/>
      <c r="G2" s="213"/>
      <c r="H2" s="213"/>
      <c r="I2" s="213"/>
      <c r="J2" s="211"/>
      <c r="K2" s="104"/>
      <c r="L2" s="657" t="s">
        <v>311</v>
      </c>
      <c r="M2" s="657"/>
      <c r="N2" s="657"/>
      <c r="O2" s="657"/>
      <c r="P2" s="657"/>
    </row>
    <row r="3" spans="1:16" ht="21.75" customHeight="1">
      <c r="A3" s="656" t="s">
        <v>306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</row>
    <row r="4" spans="1:16" ht="24" customHeight="1">
      <c r="A4" s="655" t="s">
        <v>536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</row>
    <row r="5" spans="1:16" ht="24" customHeight="1">
      <c r="A5" s="242"/>
      <c r="B5" s="242"/>
      <c r="C5" s="242"/>
      <c r="D5" s="648" t="s">
        <v>365</v>
      </c>
      <c r="E5" s="648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</row>
    <row r="6" spans="1:16" ht="15.75">
      <c r="A6" s="103"/>
      <c r="B6" s="103"/>
      <c r="C6" s="213"/>
      <c r="D6" s="114" t="s">
        <v>310</v>
      </c>
      <c r="E6" s="211"/>
      <c r="F6" s="213"/>
      <c r="G6" s="213"/>
      <c r="H6" s="213"/>
      <c r="I6" s="213"/>
      <c r="J6" s="211"/>
      <c r="K6" s="213"/>
      <c r="L6" s="213"/>
      <c r="M6" s="213"/>
      <c r="N6" s="213"/>
      <c r="O6" s="213"/>
      <c r="P6" s="153" t="s">
        <v>83</v>
      </c>
    </row>
    <row r="7" spans="1:16" ht="58.5" customHeight="1">
      <c r="A7" s="647" t="s">
        <v>356</v>
      </c>
      <c r="B7" s="647" t="s">
        <v>357</v>
      </c>
      <c r="C7" s="649" t="s">
        <v>358</v>
      </c>
      <c r="D7" s="651" t="s">
        <v>325</v>
      </c>
      <c r="E7" s="647" t="s">
        <v>68</v>
      </c>
      <c r="F7" s="647"/>
      <c r="G7" s="647"/>
      <c r="H7" s="647"/>
      <c r="I7" s="647"/>
      <c r="J7" s="647" t="s">
        <v>69</v>
      </c>
      <c r="K7" s="647"/>
      <c r="L7" s="647"/>
      <c r="M7" s="647"/>
      <c r="N7" s="647"/>
      <c r="O7" s="647"/>
      <c r="P7" s="647" t="s">
        <v>35</v>
      </c>
    </row>
    <row r="8" spans="1:16" ht="18.75" customHeight="1">
      <c r="A8" s="647"/>
      <c r="B8" s="647"/>
      <c r="C8" s="649"/>
      <c r="D8" s="652"/>
      <c r="E8" s="647" t="s">
        <v>268</v>
      </c>
      <c r="F8" s="650" t="s">
        <v>45</v>
      </c>
      <c r="G8" s="647" t="s">
        <v>359</v>
      </c>
      <c r="H8" s="647"/>
      <c r="I8" s="650" t="s">
        <v>46</v>
      </c>
      <c r="J8" s="647" t="s">
        <v>268</v>
      </c>
      <c r="K8" s="651" t="s">
        <v>272</v>
      </c>
      <c r="L8" s="650" t="s">
        <v>45</v>
      </c>
      <c r="M8" s="647" t="s">
        <v>359</v>
      </c>
      <c r="N8" s="647"/>
      <c r="O8" s="650" t="s">
        <v>46</v>
      </c>
      <c r="P8" s="647"/>
    </row>
    <row r="9" spans="1:16" ht="13.5" customHeight="1">
      <c r="A9" s="647"/>
      <c r="B9" s="647"/>
      <c r="C9" s="649"/>
      <c r="D9" s="652"/>
      <c r="E9" s="647"/>
      <c r="F9" s="650"/>
      <c r="G9" s="647" t="s">
        <v>36</v>
      </c>
      <c r="H9" s="647" t="s">
        <v>37</v>
      </c>
      <c r="I9" s="650"/>
      <c r="J9" s="647"/>
      <c r="K9" s="652"/>
      <c r="L9" s="650"/>
      <c r="M9" s="647" t="s">
        <v>36</v>
      </c>
      <c r="N9" s="647" t="s">
        <v>37</v>
      </c>
      <c r="O9" s="650"/>
      <c r="P9" s="647"/>
    </row>
    <row r="10" spans="1:16" ht="84.75" customHeight="1">
      <c r="A10" s="647"/>
      <c r="B10" s="647"/>
      <c r="C10" s="649"/>
      <c r="D10" s="653"/>
      <c r="E10" s="647"/>
      <c r="F10" s="650"/>
      <c r="G10" s="647"/>
      <c r="H10" s="647"/>
      <c r="I10" s="650"/>
      <c r="J10" s="647"/>
      <c r="K10" s="653"/>
      <c r="L10" s="650"/>
      <c r="M10" s="647"/>
      <c r="N10" s="647"/>
      <c r="O10" s="650"/>
      <c r="P10" s="647"/>
    </row>
    <row r="11" spans="1:16" s="22" customFormat="1" ht="12.75" customHeight="1">
      <c r="A11" s="102">
        <v>1</v>
      </c>
      <c r="B11" s="102">
        <f>A11+1</f>
        <v>2</v>
      </c>
      <c r="C11" s="102">
        <f aca="true" t="shared" si="0" ref="C11:J11">B11+1</f>
        <v>3</v>
      </c>
      <c r="D11" s="102">
        <f t="shared" si="0"/>
        <v>4</v>
      </c>
      <c r="E11" s="102">
        <f t="shared" si="0"/>
        <v>5</v>
      </c>
      <c r="F11" s="102">
        <f t="shared" si="0"/>
        <v>6</v>
      </c>
      <c r="G11" s="102">
        <f t="shared" si="0"/>
        <v>7</v>
      </c>
      <c r="H11" s="102">
        <f t="shared" si="0"/>
        <v>8</v>
      </c>
      <c r="I11" s="102">
        <f t="shared" si="0"/>
        <v>9</v>
      </c>
      <c r="J11" s="102">
        <f t="shared" si="0"/>
        <v>10</v>
      </c>
      <c r="K11" s="102">
        <f>J11+1</f>
        <v>11</v>
      </c>
      <c r="L11" s="102">
        <v>12</v>
      </c>
      <c r="M11" s="102">
        <f>L11+1</f>
        <v>13</v>
      </c>
      <c r="N11" s="102">
        <f>M11+1</f>
        <v>14</v>
      </c>
      <c r="O11" s="102">
        <f>N11+1</f>
        <v>15</v>
      </c>
      <c r="P11" s="102">
        <v>16</v>
      </c>
    </row>
    <row r="12" spans="1:19" s="77" customFormat="1" ht="31.5">
      <c r="A12" s="203" t="s">
        <v>294</v>
      </c>
      <c r="B12" s="203" t="s">
        <v>295</v>
      </c>
      <c r="C12" s="204"/>
      <c r="D12" s="205" t="s">
        <v>292</v>
      </c>
      <c r="E12" s="206">
        <f>E13</f>
        <v>105046837</v>
      </c>
      <c r="F12" s="206">
        <f aca="true" t="shared" si="1" ref="F12:N12">F13</f>
        <v>105046837</v>
      </c>
      <c r="G12" s="206">
        <f t="shared" si="1"/>
        <v>44848793</v>
      </c>
      <c r="H12" s="206">
        <f t="shared" si="1"/>
        <v>2130400</v>
      </c>
      <c r="I12" s="206">
        <f t="shared" si="1"/>
        <v>0</v>
      </c>
      <c r="J12" s="206">
        <f>J13</f>
        <v>6217560</v>
      </c>
      <c r="K12" s="206">
        <f t="shared" si="1"/>
        <v>5027060</v>
      </c>
      <c r="L12" s="206">
        <f t="shared" si="1"/>
        <v>950000</v>
      </c>
      <c r="M12" s="206">
        <f t="shared" si="1"/>
        <v>0</v>
      </c>
      <c r="N12" s="206">
        <f t="shared" si="1"/>
        <v>20500</v>
      </c>
      <c r="O12" s="206">
        <f>O13</f>
        <v>5267560</v>
      </c>
      <c r="P12" s="206">
        <f>E12+J12</f>
        <v>111264397</v>
      </c>
      <c r="R12" s="746">
        <f>K12-O12</f>
        <v>-240500</v>
      </c>
      <c r="S12" s="170">
        <f aca="true" t="shared" si="2" ref="S12:S75">O12-K12</f>
        <v>240500</v>
      </c>
    </row>
    <row r="13" spans="1:19" s="77" customFormat="1" ht="31.5">
      <c r="A13" s="203" t="s">
        <v>297</v>
      </c>
      <c r="B13" s="203"/>
      <c r="C13" s="204"/>
      <c r="D13" s="205" t="s">
        <v>293</v>
      </c>
      <c r="E13" s="206">
        <f>SUM(E14:E27)-E17-E20</f>
        <v>105046837</v>
      </c>
      <c r="F13" s="206">
        <f>SUM(F14:F27)-F17-F20</f>
        <v>105046837</v>
      </c>
      <c r="G13" s="206">
        <f>SUM(G14:G27)-G17-G20</f>
        <v>44848793</v>
      </c>
      <c r="H13" s="206">
        <f>SUM(H14:H27)-H17-H20</f>
        <v>2130400</v>
      </c>
      <c r="I13" s="206">
        <f>SUM(I14:I27)-I17-I20</f>
        <v>0</v>
      </c>
      <c r="J13" s="206">
        <f>SUM(J14:J27)</f>
        <v>6217560</v>
      </c>
      <c r="K13" s="206">
        <f>SUM(K14:K27)-K17-K20</f>
        <v>5027060</v>
      </c>
      <c r="L13" s="206">
        <f>SUM(L14:L27)-L17-L20</f>
        <v>950000</v>
      </c>
      <c r="M13" s="206">
        <f>SUM(M14:M27)-M17-M20</f>
        <v>0</v>
      </c>
      <c r="N13" s="206">
        <f>SUM(N14:N27)-N17-N20</f>
        <v>20500</v>
      </c>
      <c r="O13" s="206">
        <f>SUM(O14:O27)-O17-O20</f>
        <v>5267560</v>
      </c>
      <c r="P13" s="206">
        <f>SUM(P14:P27)</f>
        <v>115534397</v>
      </c>
      <c r="R13" s="746">
        <f aca="true" t="shared" si="3" ref="R13:R76">K13-O13</f>
        <v>-240500</v>
      </c>
      <c r="S13" s="170">
        <f t="shared" si="2"/>
        <v>240500</v>
      </c>
    </row>
    <row r="14" spans="1:19" s="160" customFormat="1" ht="47.25">
      <c r="A14" s="207" t="s">
        <v>296</v>
      </c>
      <c r="B14" s="207" t="s">
        <v>176</v>
      </c>
      <c r="C14" s="199" t="s">
        <v>47</v>
      </c>
      <c r="D14" s="295" t="s">
        <v>770</v>
      </c>
      <c r="E14" s="201">
        <f aca="true" t="shared" si="4" ref="E14:E21">F14+I14</f>
        <v>62990928</v>
      </c>
      <c r="F14" s="201">
        <v>62990928</v>
      </c>
      <c r="G14" s="201">
        <v>44779121</v>
      </c>
      <c r="H14" s="201">
        <v>2130400</v>
      </c>
      <c r="I14" s="201"/>
      <c r="J14" s="201">
        <f>L14+O14</f>
        <v>1409500</v>
      </c>
      <c r="K14" s="201">
        <f>700000-240500</f>
        <v>459500</v>
      </c>
      <c r="L14" s="201">
        <v>950000</v>
      </c>
      <c r="M14" s="201"/>
      <c r="N14" s="201">
        <v>20500</v>
      </c>
      <c r="O14" s="201">
        <f>700000-240500</f>
        <v>459500</v>
      </c>
      <c r="P14" s="201">
        <f>E14+J14</f>
        <v>64400428</v>
      </c>
      <c r="R14" s="746">
        <f t="shared" si="3"/>
        <v>0</v>
      </c>
      <c r="S14" s="170">
        <f t="shared" si="2"/>
        <v>0</v>
      </c>
    </row>
    <row r="15" spans="1:19" s="76" customFormat="1" ht="24" customHeight="1">
      <c r="A15" s="207" t="s">
        <v>298</v>
      </c>
      <c r="B15" s="207" t="s">
        <v>64</v>
      </c>
      <c r="C15" s="199" t="s">
        <v>55</v>
      </c>
      <c r="D15" s="198" t="s">
        <v>185</v>
      </c>
      <c r="E15" s="201">
        <f t="shared" si="4"/>
        <v>1440000</v>
      </c>
      <c r="F15" s="201">
        <v>1440000</v>
      </c>
      <c r="G15" s="201"/>
      <c r="H15" s="201"/>
      <c r="I15" s="201"/>
      <c r="J15" s="201">
        <f aca="true" t="shared" si="5" ref="J15:J27">L15+O15</f>
        <v>0</v>
      </c>
      <c r="K15" s="201"/>
      <c r="L15" s="201"/>
      <c r="M15" s="201"/>
      <c r="N15" s="201"/>
      <c r="O15" s="201"/>
      <c r="P15" s="201">
        <f aca="true" t="shared" si="6" ref="P15:P53">E15+J15</f>
        <v>1440000</v>
      </c>
      <c r="R15" s="746">
        <f t="shared" si="3"/>
        <v>0</v>
      </c>
      <c r="S15" s="170">
        <f t="shared" si="2"/>
        <v>0</v>
      </c>
    </row>
    <row r="16" spans="1:19" s="76" customFormat="1" ht="30.75" customHeight="1">
      <c r="A16" s="244" t="s">
        <v>400</v>
      </c>
      <c r="B16" s="244" t="s">
        <v>76</v>
      </c>
      <c r="C16" s="246" t="s">
        <v>62</v>
      </c>
      <c r="D16" s="247" t="s">
        <v>307</v>
      </c>
      <c r="E16" s="165">
        <f t="shared" si="4"/>
        <v>9191653</v>
      </c>
      <c r="F16" s="165">
        <v>9191653</v>
      </c>
      <c r="G16" s="165"/>
      <c r="H16" s="165"/>
      <c r="I16" s="165"/>
      <c r="J16" s="165">
        <f t="shared" si="5"/>
        <v>0</v>
      </c>
      <c r="K16" s="165"/>
      <c r="L16" s="165"/>
      <c r="M16" s="165"/>
      <c r="N16" s="165"/>
      <c r="O16" s="165"/>
      <c r="P16" s="201">
        <f t="shared" si="6"/>
        <v>9191653</v>
      </c>
      <c r="R16" s="746">
        <f t="shared" si="3"/>
        <v>0</v>
      </c>
      <c r="S16" s="170">
        <f t="shared" si="2"/>
        <v>0</v>
      </c>
    </row>
    <row r="17" spans="1:19" s="269" customFormat="1" ht="47.25">
      <c r="A17" s="271"/>
      <c r="B17" s="271"/>
      <c r="C17" s="268"/>
      <c r="D17" s="267" t="s">
        <v>444</v>
      </c>
      <c r="E17" s="166">
        <f t="shared" si="4"/>
        <v>2027800</v>
      </c>
      <c r="F17" s="166">
        <v>2027800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2">
        <f t="shared" si="6"/>
        <v>2027800</v>
      </c>
      <c r="R17" s="746">
        <f t="shared" si="3"/>
        <v>0</v>
      </c>
      <c r="S17" s="170">
        <f t="shared" si="2"/>
        <v>0</v>
      </c>
    </row>
    <row r="18" spans="1:19" s="76" customFormat="1" ht="30.75" customHeight="1">
      <c r="A18" s="244" t="s">
        <v>401</v>
      </c>
      <c r="B18" s="244" t="s">
        <v>205</v>
      </c>
      <c r="C18" s="246" t="s">
        <v>279</v>
      </c>
      <c r="D18" s="248" t="s">
        <v>236</v>
      </c>
      <c r="E18" s="165">
        <f t="shared" si="4"/>
        <v>1459516</v>
      </c>
      <c r="F18" s="165">
        <v>1459516</v>
      </c>
      <c r="G18" s="165"/>
      <c r="H18" s="165"/>
      <c r="I18" s="165"/>
      <c r="J18" s="165">
        <f t="shared" si="5"/>
        <v>0</v>
      </c>
      <c r="K18" s="165"/>
      <c r="L18" s="165"/>
      <c r="M18" s="165"/>
      <c r="N18" s="165"/>
      <c r="O18" s="165"/>
      <c r="P18" s="201">
        <f t="shared" si="6"/>
        <v>1459516</v>
      </c>
      <c r="R18" s="746">
        <f t="shared" si="3"/>
        <v>0</v>
      </c>
      <c r="S18" s="170">
        <f t="shared" si="2"/>
        <v>0</v>
      </c>
    </row>
    <row r="19" spans="1:19" s="76" customFormat="1" ht="30.75" customHeight="1">
      <c r="A19" s="244" t="s">
        <v>398</v>
      </c>
      <c r="B19" s="244" t="s">
        <v>237</v>
      </c>
      <c r="C19" s="245" t="s">
        <v>63</v>
      </c>
      <c r="D19" s="249" t="s">
        <v>308</v>
      </c>
      <c r="E19" s="165">
        <f t="shared" si="4"/>
        <v>5742200</v>
      </c>
      <c r="F19" s="165">
        <f>3500000+2242200</f>
        <v>5742200</v>
      </c>
      <c r="G19" s="165"/>
      <c r="H19" s="165"/>
      <c r="I19" s="165"/>
      <c r="J19" s="165">
        <f t="shared" si="5"/>
        <v>0</v>
      </c>
      <c r="K19" s="165"/>
      <c r="L19" s="165"/>
      <c r="M19" s="165"/>
      <c r="N19" s="165"/>
      <c r="O19" s="165"/>
      <c r="P19" s="201">
        <f t="shared" si="6"/>
        <v>5742200</v>
      </c>
      <c r="R19" s="746">
        <f t="shared" si="3"/>
        <v>0</v>
      </c>
      <c r="S19" s="170">
        <f t="shared" si="2"/>
        <v>0</v>
      </c>
    </row>
    <row r="20" spans="1:19" s="269" customFormat="1" ht="78.75">
      <c r="A20" s="271"/>
      <c r="B20" s="271"/>
      <c r="C20" s="270"/>
      <c r="D20" s="272" t="s">
        <v>445</v>
      </c>
      <c r="E20" s="166">
        <f t="shared" si="4"/>
        <v>2242200</v>
      </c>
      <c r="F20" s="166">
        <v>2242200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2">
        <f t="shared" si="6"/>
        <v>2242200</v>
      </c>
      <c r="R20" s="746">
        <f t="shared" si="3"/>
        <v>0</v>
      </c>
      <c r="S20" s="170">
        <f t="shared" si="2"/>
        <v>0</v>
      </c>
    </row>
    <row r="21" spans="1:19" s="76" customFormat="1" ht="30.75" customHeight="1">
      <c r="A21" s="244" t="s">
        <v>23</v>
      </c>
      <c r="B21" s="244" t="s">
        <v>24</v>
      </c>
      <c r="C21" s="245" t="s">
        <v>63</v>
      </c>
      <c r="D21" s="250" t="s">
        <v>22</v>
      </c>
      <c r="E21" s="165">
        <f t="shared" si="4"/>
        <v>20699540</v>
      </c>
      <c r="F21" s="165">
        <f>17450000+2300000+949540</f>
        <v>20699540</v>
      </c>
      <c r="G21" s="165"/>
      <c r="H21" s="165"/>
      <c r="I21" s="165"/>
      <c r="J21" s="201">
        <f>L21+O21</f>
        <v>4567560</v>
      </c>
      <c r="K21" s="165">
        <f>4500000+67560</f>
        <v>4567560</v>
      </c>
      <c r="L21" s="165"/>
      <c r="M21" s="165"/>
      <c r="N21" s="165"/>
      <c r="O21" s="165">
        <f>K21</f>
        <v>4567560</v>
      </c>
      <c r="P21" s="201">
        <f t="shared" si="6"/>
        <v>25267100</v>
      </c>
      <c r="R21" s="746">
        <f t="shared" si="3"/>
        <v>0</v>
      </c>
      <c r="S21" s="170">
        <f t="shared" si="2"/>
        <v>0</v>
      </c>
    </row>
    <row r="22" spans="1:19" s="76" customFormat="1" ht="15.75">
      <c r="A22" s="207" t="s">
        <v>299</v>
      </c>
      <c r="B22" s="207" t="s">
        <v>71</v>
      </c>
      <c r="C22" s="199" t="s">
        <v>48</v>
      </c>
      <c r="D22" s="210" t="s">
        <v>39</v>
      </c>
      <c r="E22" s="201">
        <f aca="true" t="shared" si="7" ref="E22:E28">F22+I22</f>
        <v>200000</v>
      </c>
      <c r="F22" s="201">
        <v>200000</v>
      </c>
      <c r="G22" s="201"/>
      <c r="H22" s="201"/>
      <c r="I22" s="201"/>
      <c r="J22" s="201">
        <f>L22+O22</f>
        <v>0</v>
      </c>
      <c r="K22" s="201"/>
      <c r="L22" s="201"/>
      <c r="M22" s="201"/>
      <c r="N22" s="201"/>
      <c r="O22" s="201"/>
      <c r="P22" s="201">
        <f t="shared" si="6"/>
        <v>200000</v>
      </c>
      <c r="R22" s="746">
        <f t="shared" si="3"/>
        <v>0</v>
      </c>
      <c r="S22" s="170">
        <f t="shared" si="2"/>
        <v>0</v>
      </c>
    </row>
    <row r="23" spans="1:19" s="76" customFormat="1" ht="18.75" customHeight="1">
      <c r="A23" s="207" t="s">
        <v>300</v>
      </c>
      <c r="B23" s="207" t="s">
        <v>11</v>
      </c>
      <c r="C23" s="199" t="s">
        <v>33</v>
      </c>
      <c r="D23" s="198" t="s">
        <v>34</v>
      </c>
      <c r="E23" s="201">
        <f t="shared" si="7"/>
        <v>85000</v>
      </c>
      <c r="F23" s="201">
        <v>85000</v>
      </c>
      <c r="G23" s="201">
        <v>69672</v>
      </c>
      <c r="H23" s="201"/>
      <c r="I23" s="201"/>
      <c r="J23" s="201">
        <f t="shared" si="5"/>
        <v>0</v>
      </c>
      <c r="K23" s="201"/>
      <c r="L23" s="201"/>
      <c r="M23" s="201"/>
      <c r="N23" s="201"/>
      <c r="O23" s="201"/>
      <c r="P23" s="201">
        <f t="shared" si="6"/>
        <v>85000</v>
      </c>
      <c r="R23" s="746">
        <f t="shared" si="3"/>
        <v>0</v>
      </c>
      <c r="S23" s="170">
        <f t="shared" si="2"/>
        <v>0</v>
      </c>
    </row>
    <row r="24" spans="1:19" s="76" customFormat="1" ht="22.5" customHeight="1">
      <c r="A24" s="207" t="s">
        <v>301</v>
      </c>
      <c r="B24" s="207" t="s">
        <v>12</v>
      </c>
      <c r="C24" s="199" t="s">
        <v>186</v>
      </c>
      <c r="D24" s="197" t="s">
        <v>13</v>
      </c>
      <c r="E24" s="201">
        <f t="shared" si="7"/>
        <v>1848000</v>
      </c>
      <c r="F24" s="201">
        <v>1848000</v>
      </c>
      <c r="G24" s="201"/>
      <c r="H24" s="201"/>
      <c r="I24" s="201"/>
      <c r="J24" s="201">
        <f t="shared" si="5"/>
        <v>0</v>
      </c>
      <c r="K24" s="201"/>
      <c r="L24" s="201"/>
      <c r="M24" s="201"/>
      <c r="N24" s="201"/>
      <c r="O24" s="201"/>
      <c r="P24" s="201">
        <f t="shared" si="6"/>
        <v>1848000</v>
      </c>
      <c r="R24" s="746">
        <f t="shared" si="3"/>
        <v>0</v>
      </c>
      <c r="S24" s="170">
        <f t="shared" si="2"/>
        <v>0</v>
      </c>
    </row>
    <row r="25" spans="1:19" s="76" customFormat="1" ht="99" customHeight="1">
      <c r="A25" s="207" t="s">
        <v>304</v>
      </c>
      <c r="B25" s="207" t="s">
        <v>14</v>
      </c>
      <c r="C25" s="199" t="s">
        <v>61</v>
      </c>
      <c r="D25" s="196" t="s">
        <v>274</v>
      </c>
      <c r="E25" s="201">
        <f t="shared" si="7"/>
        <v>0</v>
      </c>
      <c r="F25" s="201"/>
      <c r="G25" s="201"/>
      <c r="H25" s="201"/>
      <c r="I25" s="201"/>
      <c r="J25" s="201">
        <f t="shared" si="5"/>
        <v>240500</v>
      </c>
      <c r="K25" s="201"/>
      <c r="L25" s="201"/>
      <c r="M25" s="201"/>
      <c r="N25" s="201"/>
      <c r="O25" s="201">
        <v>240500</v>
      </c>
      <c r="P25" s="201">
        <f t="shared" si="6"/>
        <v>240500</v>
      </c>
      <c r="R25" s="746">
        <f t="shared" si="3"/>
        <v>-240500</v>
      </c>
      <c r="S25" s="170">
        <f t="shared" si="2"/>
        <v>240500</v>
      </c>
    </row>
    <row r="26" spans="1:19" s="76" customFormat="1" ht="27" customHeight="1">
      <c r="A26" s="207" t="s">
        <v>302</v>
      </c>
      <c r="B26" s="207" t="s">
        <v>225</v>
      </c>
      <c r="C26" s="199" t="s">
        <v>61</v>
      </c>
      <c r="D26" s="196" t="s">
        <v>226</v>
      </c>
      <c r="E26" s="201">
        <f>F26+I26</f>
        <v>1150000</v>
      </c>
      <c r="F26" s="201">
        <f>2050000-900000</f>
        <v>1150000</v>
      </c>
      <c r="G26" s="201"/>
      <c r="H26" s="201"/>
      <c r="I26" s="201"/>
      <c r="J26" s="201">
        <f t="shared" si="5"/>
        <v>0</v>
      </c>
      <c r="K26" s="201"/>
      <c r="L26" s="201"/>
      <c r="M26" s="201"/>
      <c r="N26" s="201"/>
      <c r="O26" s="201"/>
      <c r="P26" s="201">
        <f t="shared" si="6"/>
        <v>1150000</v>
      </c>
      <c r="R26" s="746">
        <f t="shared" si="3"/>
        <v>0</v>
      </c>
      <c r="S26" s="170">
        <f t="shared" si="2"/>
        <v>0</v>
      </c>
    </row>
    <row r="27" spans="1:19" s="76" customFormat="1" ht="33.75" customHeight="1">
      <c r="A27" s="207" t="s">
        <v>303</v>
      </c>
      <c r="B27" s="207" t="s">
        <v>187</v>
      </c>
      <c r="C27" s="208" t="s">
        <v>188</v>
      </c>
      <c r="D27" s="195" t="s">
        <v>15</v>
      </c>
      <c r="E27" s="194">
        <f t="shared" si="7"/>
        <v>240000</v>
      </c>
      <c r="F27" s="194">
        <v>240000</v>
      </c>
      <c r="G27" s="194"/>
      <c r="H27" s="194"/>
      <c r="I27" s="194"/>
      <c r="J27" s="194">
        <f t="shared" si="5"/>
        <v>0</v>
      </c>
      <c r="K27" s="194"/>
      <c r="L27" s="194"/>
      <c r="M27" s="194"/>
      <c r="N27" s="194"/>
      <c r="O27" s="194"/>
      <c r="P27" s="194">
        <f t="shared" si="6"/>
        <v>240000</v>
      </c>
      <c r="R27" s="746">
        <f t="shared" si="3"/>
        <v>0</v>
      </c>
      <c r="S27" s="170">
        <f t="shared" si="2"/>
        <v>0</v>
      </c>
    </row>
    <row r="28" spans="1:19" s="273" customFormat="1" ht="38.25" customHeight="1">
      <c r="A28" s="203" t="s">
        <v>201</v>
      </c>
      <c r="B28" s="203" t="s">
        <v>202</v>
      </c>
      <c r="C28" s="193"/>
      <c r="D28" s="192" t="s">
        <v>337</v>
      </c>
      <c r="E28" s="191">
        <f t="shared" si="7"/>
        <v>550388250</v>
      </c>
      <c r="F28" s="190">
        <f aca="true" t="shared" si="8" ref="F28:O28">F29</f>
        <v>550388250</v>
      </c>
      <c r="G28" s="190">
        <f t="shared" si="8"/>
        <v>395890080</v>
      </c>
      <c r="H28" s="190">
        <f t="shared" si="8"/>
        <v>22465730</v>
      </c>
      <c r="I28" s="190">
        <f t="shared" si="8"/>
        <v>0</v>
      </c>
      <c r="J28" s="190">
        <f t="shared" si="8"/>
        <v>30996224</v>
      </c>
      <c r="K28" s="190">
        <f t="shared" si="8"/>
        <v>3180850</v>
      </c>
      <c r="L28" s="190">
        <f t="shared" si="8"/>
        <v>27815374</v>
      </c>
      <c r="M28" s="190">
        <f t="shared" si="8"/>
        <v>546325</v>
      </c>
      <c r="N28" s="190">
        <f t="shared" si="8"/>
        <v>479320</v>
      </c>
      <c r="O28" s="190">
        <f t="shared" si="8"/>
        <v>3180850</v>
      </c>
      <c r="P28" s="206">
        <f t="shared" si="6"/>
        <v>581384474</v>
      </c>
      <c r="R28" s="746">
        <f t="shared" si="3"/>
        <v>0</v>
      </c>
      <c r="S28" s="501">
        <f t="shared" si="2"/>
        <v>0</v>
      </c>
    </row>
    <row r="29" spans="1:19" s="273" customFormat="1" ht="38.25" customHeight="1">
      <c r="A29" s="203" t="s">
        <v>203</v>
      </c>
      <c r="B29" s="203"/>
      <c r="C29" s="193"/>
      <c r="D29" s="192" t="s">
        <v>338</v>
      </c>
      <c r="E29" s="191">
        <f>F29+I29</f>
        <v>550388250</v>
      </c>
      <c r="F29" s="190">
        <f>SUM(F31:F49)-F34-F36</f>
        <v>550388250</v>
      </c>
      <c r="G29" s="190">
        <f>SUM(G31:G49)-G34-G36</f>
        <v>395890080</v>
      </c>
      <c r="H29" s="190">
        <f>SUM(H31:H49)-H34-H36</f>
        <v>22465730</v>
      </c>
      <c r="I29" s="190">
        <f>SUM(I31:I49)-I34-I36</f>
        <v>0</v>
      </c>
      <c r="J29" s="190">
        <f>L29+O29</f>
        <v>30996224</v>
      </c>
      <c r="K29" s="190">
        <f>SUM(K31:K49)-K34-K36</f>
        <v>3180850</v>
      </c>
      <c r="L29" s="190">
        <f>SUM(L31:L49)-L34-L36</f>
        <v>27815374</v>
      </c>
      <c r="M29" s="190">
        <f>SUM(M31:M49)-M34-M36</f>
        <v>546325</v>
      </c>
      <c r="N29" s="190">
        <f>SUM(N31:N49)-N34-N36</f>
        <v>479320</v>
      </c>
      <c r="O29" s="190">
        <f>SUM(O31:O49)-O34-O36</f>
        <v>3180850</v>
      </c>
      <c r="P29" s="206">
        <f t="shared" si="6"/>
        <v>581384474</v>
      </c>
      <c r="R29" s="746">
        <f t="shared" si="3"/>
        <v>0</v>
      </c>
      <c r="S29" s="501">
        <f t="shared" si="2"/>
        <v>0</v>
      </c>
    </row>
    <row r="30" spans="1:19" s="78" customFormat="1" ht="15.75" hidden="1">
      <c r="A30" s="188"/>
      <c r="B30" s="188"/>
      <c r="C30" s="187"/>
      <c r="D30" s="186" t="s">
        <v>70</v>
      </c>
      <c r="E30" s="185" t="e">
        <f>F30+I30</f>
        <v>#REF!</v>
      </c>
      <c r="F30" s="184"/>
      <c r="G30" s="184"/>
      <c r="H30" s="184" t="e">
        <f>#REF!+H35+H36+#REF!+H42</f>
        <v>#REF!</v>
      </c>
      <c r="I30" s="184" t="e">
        <f>#REF!+I35+I36+#REF!+I42</f>
        <v>#REF!</v>
      </c>
      <c r="J30" s="184" t="e">
        <f>L30+O30</f>
        <v>#REF!</v>
      </c>
      <c r="K30" s="184"/>
      <c r="L30" s="184" t="e">
        <f>L35+L36+#REF!+L42</f>
        <v>#REF!</v>
      </c>
      <c r="M30" s="184" t="e">
        <f>M35+M36+#REF!+M42</f>
        <v>#REF!</v>
      </c>
      <c r="N30" s="184" t="e">
        <f>N35+N36+#REF!+N42</f>
        <v>#REF!</v>
      </c>
      <c r="O30" s="184" t="e">
        <f>#REF!+O35+O36+#REF!+O42</f>
        <v>#REF!</v>
      </c>
      <c r="P30" s="183" t="e">
        <f t="shared" si="6"/>
        <v>#REF!</v>
      </c>
      <c r="R30" s="746" t="e">
        <f t="shared" si="3"/>
        <v>#REF!</v>
      </c>
      <c r="S30" s="501" t="e">
        <f t="shared" si="2"/>
        <v>#REF!</v>
      </c>
    </row>
    <row r="31" spans="1:19" s="273" customFormat="1" ht="57.75" customHeight="1">
      <c r="A31" s="626" t="s">
        <v>374</v>
      </c>
      <c r="B31" s="626" t="s">
        <v>176</v>
      </c>
      <c r="C31" s="280" t="s">
        <v>47</v>
      </c>
      <c r="D31" s="295" t="s">
        <v>769</v>
      </c>
      <c r="E31" s="165">
        <f>F31+I31</f>
        <v>2804835</v>
      </c>
      <c r="F31" s="189">
        <v>2804835</v>
      </c>
      <c r="G31" s="189">
        <v>2207957</v>
      </c>
      <c r="H31" s="189">
        <v>44942</v>
      </c>
      <c r="I31" s="190"/>
      <c r="J31" s="201">
        <f>L31+O31</f>
        <v>0</v>
      </c>
      <c r="K31" s="190"/>
      <c r="L31" s="190"/>
      <c r="M31" s="190"/>
      <c r="N31" s="190"/>
      <c r="O31" s="190"/>
      <c r="P31" s="201">
        <f>E31+J31</f>
        <v>2804835</v>
      </c>
      <c r="R31" s="746">
        <f t="shared" si="3"/>
        <v>0</v>
      </c>
      <c r="S31" s="501">
        <f t="shared" si="2"/>
        <v>0</v>
      </c>
    </row>
    <row r="32" spans="1:19" s="274" customFormat="1" ht="20.25" customHeight="1">
      <c r="A32" s="626" t="s">
        <v>204</v>
      </c>
      <c r="B32" s="626" t="s">
        <v>52</v>
      </c>
      <c r="C32" s="182" t="s">
        <v>283</v>
      </c>
      <c r="D32" s="630" t="s">
        <v>774</v>
      </c>
      <c r="E32" s="165">
        <f aca="true" t="shared" si="9" ref="E32:E49">F32+I32</f>
        <v>181445380</v>
      </c>
      <c r="F32" s="165">
        <f>164357816-750275+17837839</f>
        <v>181445380</v>
      </c>
      <c r="G32" s="165">
        <f>114410764+11612607</f>
        <v>126023371</v>
      </c>
      <c r="H32" s="165">
        <f>9728310+1899783</f>
        <v>11628093</v>
      </c>
      <c r="I32" s="165"/>
      <c r="J32" s="201">
        <f aca="true" t="shared" si="10" ref="J32:J42">L32+O32</f>
        <v>27004219</v>
      </c>
      <c r="K32" s="201">
        <f>820275-70000</f>
        <v>750275</v>
      </c>
      <c r="L32" s="165">
        <v>26253944</v>
      </c>
      <c r="M32" s="165">
        <v>460425</v>
      </c>
      <c r="N32" s="165">
        <f>21460+21460</f>
        <v>42920</v>
      </c>
      <c r="O32" s="201">
        <f>750275</f>
        <v>750275</v>
      </c>
      <c r="P32" s="201">
        <f>E32+J32</f>
        <v>208449599</v>
      </c>
      <c r="R32" s="746">
        <f t="shared" si="3"/>
        <v>0</v>
      </c>
      <c r="S32" s="501">
        <f t="shared" si="2"/>
        <v>0</v>
      </c>
    </row>
    <row r="33" spans="1:19" s="274" customFormat="1" ht="62.25" customHeight="1">
      <c r="A33" s="626" t="s">
        <v>752</v>
      </c>
      <c r="B33" s="626" t="s">
        <v>753</v>
      </c>
      <c r="C33" s="182" t="s">
        <v>282</v>
      </c>
      <c r="D33" s="630" t="s">
        <v>754</v>
      </c>
      <c r="E33" s="165">
        <f t="shared" si="9"/>
        <v>72120530</v>
      </c>
      <c r="F33" s="165">
        <f>73935974-1815444</f>
        <v>72120530</v>
      </c>
      <c r="G33" s="165">
        <f>39360397-1099097</f>
        <v>38261300</v>
      </c>
      <c r="H33" s="165">
        <v>9728998</v>
      </c>
      <c r="I33" s="165"/>
      <c r="J33" s="201">
        <f t="shared" si="10"/>
        <v>2347918</v>
      </c>
      <c r="K33" s="165">
        <f>1660575-200000</f>
        <v>1460575</v>
      </c>
      <c r="L33" s="165">
        <v>887343</v>
      </c>
      <c r="M33" s="165">
        <v>85900</v>
      </c>
      <c r="N33" s="165">
        <v>174365</v>
      </c>
      <c r="O33" s="165">
        <f>1660575-200000</f>
        <v>1460575</v>
      </c>
      <c r="P33" s="201">
        <f t="shared" si="6"/>
        <v>74468448</v>
      </c>
      <c r="Q33" s="501" t="e">
        <f>P33+#REF!+#REF!</f>
        <v>#REF!</v>
      </c>
      <c r="R33" s="746">
        <f t="shared" si="3"/>
        <v>0</v>
      </c>
      <c r="S33" s="501"/>
    </row>
    <row r="34" spans="1:19" s="274" customFormat="1" ht="62.25" customHeight="1">
      <c r="A34" s="626"/>
      <c r="B34" s="626"/>
      <c r="C34" s="182"/>
      <c r="D34" s="267" t="s">
        <v>444</v>
      </c>
      <c r="E34" s="165">
        <f t="shared" si="9"/>
        <v>2257200</v>
      </c>
      <c r="F34" s="166">
        <v>2257200</v>
      </c>
      <c r="G34" s="165"/>
      <c r="H34" s="165"/>
      <c r="I34" s="165"/>
      <c r="J34" s="165"/>
      <c r="K34" s="165"/>
      <c r="L34" s="165"/>
      <c r="M34" s="165"/>
      <c r="N34" s="165"/>
      <c r="O34" s="165"/>
      <c r="P34" s="201">
        <f t="shared" si="6"/>
        <v>2257200</v>
      </c>
      <c r="R34" s="746">
        <f t="shared" si="3"/>
        <v>0</v>
      </c>
      <c r="S34" s="501"/>
    </row>
    <row r="35" spans="1:19" s="274" customFormat="1" ht="33.75" customHeight="1">
      <c r="A35" s="626" t="s">
        <v>768</v>
      </c>
      <c r="B35" s="626" t="s">
        <v>767</v>
      </c>
      <c r="C35" s="182" t="s">
        <v>282</v>
      </c>
      <c r="D35" s="627" t="s">
        <v>775</v>
      </c>
      <c r="E35" s="165">
        <f>F35+I35</f>
        <v>248056100</v>
      </c>
      <c r="F35" s="165">
        <f>246832700+1223400</f>
        <v>248056100</v>
      </c>
      <c r="G35" s="165">
        <v>202321885</v>
      </c>
      <c r="H35" s="165"/>
      <c r="I35" s="165"/>
      <c r="J35" s="201">
        <f t="shared" si="10"/>
        <v>0</v>
      </c>
      <c r="K35" s="201"/>
      <c r="L35" s="165"/>
      <c r="M35" s="165"/>
      <c r="N35" s="165"/>
      <c r="O35" s="201"/>
      <c r="P35" s="201">
        <f t="shared" si="6"/>
        <v>248056100</v>
      </c>
      <c r="R35" s="746">
        <f t="shared" si="3"/>
        <v>0</v>
      </c>
      <c r="S35" s="501">
        <f t="shared" si="2"/>
        <v>0</v>
      </c>
    </row>
    <row r="36" spans="1:19" s="81" customFormat="1" ht="67.5" customHeight="1">
      <c r="A36" s="200"/>
      <c r="B36" s="200"/>
      <c r="C36" s="181"/>
      <c r="D36" s="168" t="s">
        <v>375</v>
      </c>
      <c r="E36" s="166">
        <f t="shared" si="9"/>
        <v>1223400</v>
      </c>
      <c r="F36" s="166">
        <v>1223400</v>
      </c>
      <c r="G36" s="166"/>
      <c r="H36" s="166"/>
      <c r="I36" s="166"/>
      <c r="J36" s="162"/>
      <c r="K36" s="162"/>
      <c r="L36" s="166"/>
      <c r="M36" s="166"/>
      <c r="N36" s="166"/>
      <c r="O36" s="162"/>
      <c r="P36" s="162">
        <f t="shared" si="6"/>
        <v>1223400</v>
      </c>
      <c r="R36" s="746">
        <f t="shared" si="3"/>
        <v>0</v>
      </c>
      <c r="S36" s="501">
        <f t="shared" si="2"/>
        <v>0</v>
      </c>
    </row>
    <row r="37" spans="1:19" s="274" customFormat="1" ht="59.25" customHeight="1">
      <c r="A37" s="626" t="s">
        <v>766</v>
      </c>
      <c r="B37" s="626" t="s">
        <v>50</v>
      </c>
      <c r="C37" s="182" t="s">
        <v>58</v>
      </c>
      <c r="D37" s="198" t="s">
        <v>776</v>
      </c>
      <c r="E37" s="165">
        <f t="shared" si="9"/>
        <v>10106888</v>
      </c>
      <c r="F37" s="165">
        <v>10106888</v>
      </c>
      <c r="G37" s="165">
        <v>7554237</v>
      </c>
      <c r="H37" s="165">
        <v>265804</v>
      </c>
      <c r="I37" s="165"/>
      <c r="J37" s="201">
        <f t="shared" si="10"/>
        <v>160965</v>
      </c>
      <c r="K37" s="201"/>
      <c r="L37" s="165">
        <v>160965</v>
      </c>
      <c r="M37" s="165"/>
      <c r="N37" s="165">
        <f>6440+21460+16095</f>
        <v>43995</v>
      </c>
      <c r="O37" s="201"/>
      <c r="P37" s="201">
        <f t="shared" si="6"/>
        <v>10267853</v>
      </c>
      <c r="R37" s="746">
        <f t="shared" si="3"/>
        <v>0</v>
      </c>
      <c r="S37" s="501">
        <f t="shared" si="2"/>
        <v>0</v>
      </c>
    </row>
    <row r="38" spans="1:19" s="274" customFormat="1" ht="29.25" customHeight="1">
      <c r="A38" s="626" t="s">
        <v>764</v>
      </c>
      <c r="B38" s="626" t="s">
        <v>765</v>
      </c>
      <c r="C38" s="182" t="s">
        <v>29</v>
      </c>
      <c r="D38" s="198" t="s">
        <v>777</v>
      </c>
      <c r="E38" s="165">
        <f t="shared" si="9"/>
        <v>3604488</v>
      </c>
      <c r="F38" s="165">
        <v>3604488</v>
      </c>
      <c r="G38" s="165">
        <v>2840477</v>
      </c>
      <c r="H38" s="165">
        <v>24536</v>
      </c>
      <c r="I38" s="165"/>
      <c r="J38" s="201">
        <f t="shared" si="10"/>
        <v>0</v>
      </c>
      <c r="K38" s="201"/>
      <c r="L38" s="201"/>
      <c r="M38" s="201"/>
      <c r="N38" s="201"/>
      <c r="O38" s="201"/>
      <c r="P38" s="201">
        <f t="shared" si="6"/>
        <v>3604488</v>
      </c>
      <c r="R38" s="746">
        <f t="shared" si="3"/>
        <v>0</v>
      </c>
      <c r="S38" s="501">
        <f t="shared" si="2"/>
        <v>0</v>
      </c>
    </row>
    <row r="39" spans="1:19" s="274" customFormat="1" ht="21" customHeight="1">
      <c r="A39" s="626" t="s">
        <v>762</v>
      </c>
      <c r="B39" s="626" t="s">
        <v>763</v>
      </c>
      <c r="C39" s="182" t="s">
        <v>29</v>
      </c>
      <c r="D39" s="180" t="s">
        <v>376</v>
      </c>
      <c r="E39" s="165">
        <f t="shared" si="9"/>
        <v>9450256</v>
      </c>
      <c r="F39" s="165">
        <v>9450256</v>
      </c>
      <c r="G39" s="165">
        <v>7549458</v>
      </c>
      <c r="H39" s="165">
        <v>74417</v>
      </c>
      <c r="I39" s="165"/>
      <c r="J39" s="201">
        <f t="shared" si="10"/>
        <v>0</v>
      </c>
      <c r="K39" s="201"/>
      <c r="L39" s="201"/>
      <c r="M39" s="201"/>
      <c r="N39" s="201"/>
      <c r="O39" s="201"/>
      <c r="P39" s="165">
        <f t="shared" si="6"/>
        <v>9450256</v>
      </c>
      <c r="R39" s="746">
        <f t="shared" si="3"/>
        <v>0</v>
      </c>
      <c r="S39" s="501">
        <f t="shared" si="2"/>
        <v>0</v>
      </c>
    </row>
    <row r="40" spans="1:19" s="274" customFormat="1" ht="24" customHeight="1">
      <c r="A40" s="626" t="s">
        <v>760</v>
      </c>
      <c r="B40" s="626" t="s">
        <v>761</v>
      </c>
      <c r="C40" s="182" t="s">
        <v>29</v>
      </c>
      <c r="D40" s="198" t="s">
        <v>284</v>
      </c>
      <c r="E40" s="165">
        <f t="shared" si="9"/>
        <v>7292025</v>
      </c>
      <c r="F40" s="165">
        <f>9292025-2000000</f>
        <v>7292025</v>
      </c>
      <c r="G40" s="165"/>
      <c r="H40" s="165"/>
      <c r="I40" s="165"/>
      <c r="J40" s="201">
        <f t="shared" si="10"/>
        <v>0</v>
      </c>
      <c r="K40" s="165"/>
      <c r="L40" s="165"/>
      <c r="M40" s="165"/>
      <c r="N40" s="165"/>
      <c r="O40" s="165"/>
      <c r="P40" s="165">
        <f t="shared" si="6"/>
        <v>7292025</v>
      </c>
      <c r="R40" s="746">
        <f t="shared" si="3"/>
        <v>0</v>
      </c>
      <c r="S40" s="501">
        <f t="shared" si="2"/>
        <v>0</v>
      </c>
    </row>
    <row r="41" spans="1:19" s="274" customFormat="1" ht="39.75" customHeight="1">
      <c r="A41" s="626" t="s">
        <v>758</v>
      </c>
      <c r="B41" s="626" t="s">
        <v>759</v>
      </c>
      <c r="C41" s="280" t="s">
        <v>29</v>
      </c>
      <c r="D41" s="745" t="s">
        <v>778</v>
      </c>
      <c r="E41" s="165">
        <f>F41+I41</f>
        <v>1198428</v>
      </c>
      <c r="F41" s="165">
        <v>1198428</v>
      </c>
      <c r="G41" s="165">
        <v>805300</v>
      </c>
      <c r="H41" s="165">
        <v>103347</v>
      </c>
      <c r="I41" s="165"/>
      <c r="J41" s="201">
        <f t="shared" si="10"/>
        <v>30052</v>
      </c>
      <c r="K41" s="165"/>
      <c r="L41" s="165">
        <v>30052</v>
      </c>
      <c r="M41" s="165"/>
      <c r="N41" s="165">
        <v>30050</v>
      </c>
      <c r="O41" s="165"/>
      <c r="P41" s="165">
        <f t="shared" si="6"/>
        <v>1228480</v>
      </c>
      <c r="R41" s="746">
        <f t="shared" si="3"/>
        <v>0</v>
      </c>
      <c r="S41" s="501"/>
    </row>
    <row r="42" spans="1:19" s="274" customFormat="1" ht="42" customHeight="1">
      <c r="A42" s="626" t="s">
        <v>755</v>
      </c>
      <c r="B42" s="626" t="s">
        <v>756</v>
      </c>
      <c r="C42" s="182" t="s">
        <v>29</v>
      </c>
      <c r="D42" s="173" t="s">
        <v>757</v>
      </c>
      <c r="E42" s="165">
        <f t="shared" si="9"/>
        <v>1855600</v>
      </c>
      <c r="F42" s="165">
        <v>1855600</v>
      </c>
      <c r="G42" s="165">
        <v>1520984</v>
      </c>
      <c r="H42" s="165"/>
      <c r="I42" s="165"/>
      <c r="J42" s="201">
        <f t="shared" si="10"/>
        <v>0</v>
      </c>
      <c r="K42" s="165"/>
      <c r="L42" s="165"/>
      <c r="M42" s="165"/>
      <c r="N42" s="165"/>
      <c r="O42" s="165"/>
      <c r="P42" s="165">
        <f t="shared" si="6"/>
        <v>1855600</v>
      </c>
      <c r="R42" s="746">
        <f t="shared" si="3"/>
        <v>0</v>
      </c>
      <c r="S42" s="501">
        <f t="shared" si="2"/>
        <v>0</v>
      </c>
    </row>
    <row r="43" spans="1:19" s="274" customFormat="1" ht="62.25" customHeight="1">
      <c r="A43" s="626" t="s">
        <v>771</v>
      </c>
      <c r="B43" s="626" t="s">
        <v>772</v>
      </c>
      <c r="C43" s="182" t="s">
        <v>29</v>
      </c>
      <c r="D43" s="198" t="s">
        <v>773</v>
      </c>
      <c r="E43" s="165">
        <f>F43+I43</f>
        <v>2387400</v>
      </c>
      <c r="F43" s="165">
        <v>2387400</v>
      </c>
      <c r="G43" s="165">
        <f>1099097+350082</f>
        <v>1449179</v>
      </c>
      <c r="H43" s="165"/>
      <c r="I43" s="165"/>
      <c r="J43" s="201">
        <f>L43+O43</f>
        <v>270000</v>
      </c>
      <c r="K43" s="201">
        <v>270000</v>
      </c>
      <c r="L43" s="201"/>
      <c r="M43" s="201"/>
      <c r="N43" s="201"/>
      <c r="O43" s="201">
        <v>270000</v>
      </c>
      <c r="P43" s="201">
        <f>E43+J43</f>
        <v>2657400</v>
      </c>
      <c r="R43" s="746">
        <f t="shared" si="3"/>
        <v>0</v>
      </c>
      <c r="S43" s="501"/>
    </row>
    <row r="44" spans="1:19" s="75" customFormat="1" ht="39" customHeight="1">
      <c r="A44" s="626" t="s">
        <v>206</v>
      </c>
      <c r="B44" s="626" t="s">
        <v>207</v>
      </c>
      <c r="C44" s="280" t="s">
        <v>48</v>
      </c>
      <c r="D44" s="198" t="s">
        <v>208</v>
      </c>
      <c r="E44" s="165">
        <f t="shared" si="9"/>
        <v>561000</v>
      </c>
      <c r="F44" s="165">
        <v>561000</v>
      </c>
      <c r="G44" s="165"/>
      <c r="H44" s="165"/>
      <c r="I44" s="165"/>
      <c r="J44" s="165"/>
      <c r="K44" s="201"/>
      <c r="L44" s="201"/>
      <c r="M44" s="201"/>
      <c r="N44" s="201"/>
      <c r="O44" s="201"/>
      <c r="P44" s="201">
        <f t="shared" si="6"/>
        <v>561000</v>
      </c>
      <c r="R44" s="746">
        <f t="shared" si="3"/>
        <v>0</v>
      </c>
      <c r="S44" s="501">
        <f t="shared" si="2"/>
        <v>0</v>
      </c>
    </row>
    <row r="45" spans="1:19" s="75" customFormat="1" ht="60" customHeight="1">
      <c r="A45" s="626" t="s">
        <v>234</v>
      </c>
      <c r="B45" s="626" t="s">
        <v>72</v>
      </c>
      <c r="C45" s="178">
        <v>1040</v>
      </c>
      <c r="D45" s="177" t="s">
        <v>209</v>
      </c>
      <c r="E45" s="165">
        <f t="shared" si="9"/>
        <v>198000</v>
      </c>
      <c r="F45" s="165">
        <v>198000</v>
      </c>
      <c r="G45" s="165"/>
      <c r="H45" s="165"/>
      <c r="I45" s="165"/>
      <c r="J45" s="201">
        <f>L45+O45</f>
        <v>0</v>
      </c>
      <c r="K45" s="201"/>
      <c r="L45" s="201"/>
      <c r="M45" s="201"/>
      <c r="N45" s="201"/>
      <c r="O45" s="201"/>
      <c r="P45" s="201">
        <f t="shared" si="6"/>
        <v>198000</v>
      </c>
      <c r="R45" s="746">
        <f t="shared" si="3"/>
        <v>0</v>
      </c>
      <c r="S45" s="501">
        <f t="shared" si="2"/>
        <v>0</v>
      </c>
    </row>
    <row r="46" spans="1:19" s="76" customFormat="1" ht="31.5">
      <c r="A46" s="626" t="s">
        <v>210</v>
      </c>
      <c r="B46" s="626" t="s">
        <v>74</v>
      </c>
      <c r="C46" s="182" t="s">
        <v>285</v>
      </c>
      <c r="D46" s="627" t="s">
        <v>38</v>
      </c>
      <c r="E46" s="201">
        <f t="shared" si="9"/>
        <v>569200</v>
      </c>
      <c r="F46" s="201">
        <v>569200</v>
      </c>
      <c r="G46" s="201"/>
      <c r="H46" s="201"/>
      <c r="I46" s="201"/>
      <c r="J46" s="201">
        <f>L46+O46</f>
        <v>0</v>
      </c>
      <c r="K46" s="201"/>
      <c r="L46" s="201"/>
      <c r="M46" s="201"/>
      <c r="N46" s="201"/>
      <c r="O46" s="201"/>
      <c r="P46" s="201">
        <f t="shared" si="6"/>
        <v>569200</v>
      </c>
      <c r="R46" s="746">
        <f t="shared" si="3"/>
        <v>0</v>
      </c>
      <c r="S46" s="501">
        <f t="shared" si="2"/>
        <v>0</v>
      </c>
    </row>
    <row r="47" spans="1:19" s="76" customFormat="1" ht="36.75" customHeight="1">
      <c r="A47" s="626" t="s">
        <v>211</v>
      </c>
      <c r="B47" s="626" t="s">
        <v>32</v>
      </c>
      <c r="C47" s="182" t="s">
        <v>285</v>
      </c>
      <c r="D47" s="627" t="s">
        <v>81</v>
      </c>
      <c r="E47" s="201">
        <f t="shared" si="9"/>
        <v>343350</v>
      </c>
      <c r="F47" s="201">
        <v>343350</v>
      </c>
      <c r="G47" s="201"/>
      <c r="H47" s="201"/>
      <c r="I47" s="201"/>
      <c r="J47" s="201"/>
      <c r="K47" s="201"/>
      <c r="L47" s="201"/>
      <c r="M47" s="201"/>
      <c r="N47" s="201"/>
      <c r="O47" s="201"/>
      <c r="P47" s="201">
        <f t="shared" si="6"/>
        <v>343350</v>
      </c>
      <c r="R47" s="746">
        <f t="shared" si="3"/>
        <v>0</v>
      </c>
      <c r="S47" s="501">
        <f t="shared" si="2"/>
        <v>0</v>
      </c>
    </row>
    <row r="48" spans="1:19" s="76" customFormat="1" ht="37.5" customHeight="1">
      <c r="A48" s="626" t="s">
        <v>235</v>
      </c>
      <c r="B48" s="626" t="s">
        <v>168</v>
      </c>
      <c r="C48" s="182" t="s">
        <v>285</v>
      </c>
      <c r="D48" s="198" t="s">
        <v>169</v>
      </c>
      <c r="E48" s="201">
        <f t="shared" si="9"/>
        <v>8004770</v>
      </c>
      <c r="F48" s="165">
        <f>7704770+300000</f>
        <v>8004770</v>
      </c>
      <c r="G48" s="165">
        <v>5355932</v>
      </c>
      <c r="H48" s="165">
        <v>595593</v>
      </c>
      <c r="I48" s="165"/>
      <c r="J48" s="201">
        <f>L48+O48</f>
        <v>1183070</v>
      </c>
      <c r="K48" s="201">
        <v>700000</v>
      </c>
      <c r="L48" s="165">
        <v>483070</v>
      </c>
      <c r="M48" s="165"/>
      <c r="N48" s="165">
        <f>16310+64380+107300</f>
        <v>187990</v>
      </c>
      <c r="O48" s="201">
        <v>700000</v>
      </c>
      <c r="P48" s="201">
        <f t="shared" si="6"/>
        <v>9187840</v>
      </c>
      <c r="R48" s="746">
        <f t="shared" si="3"/>
        <v>0</v>
      </c>
      <c r="S48" s="501">
        <f t="shared" si="2"/>
        <v>0</v>
      </c>
    </row>
    <row r="49" spans="1:19" s="76" customFormat="1" ht="37.5" customHeight="1">
      <c r="A49" s="626" t="s">
        <v>378</v>
      </c>
      <c r="B49" s="626" t="s">
        <v>377</v>
      </c>
      <c r="C49" s="280" t="s">
        <v>285</v>
      </c>
      <c r="D49" s="176" t="s">
        <v>379</v>
      </c>
      <c r="E49" s="201">
        <f t="shared" si="9"/>
        <v>390000</v>
      </c>
      <c r="F49" s="165">
        <v>390000</v>
      </c>
      <c r="G49" s="165"/>
      <c r="H49" s="165"/>
      <c r="I49" s="165"/>
      <c r="J49" s="201"/>
      <c r="K49" s="201"/>
      <c r="L49" s="165"/>
      <c r="M49" s="165"/>
      <c r="N49" s="165"/>
      <c r="O49" s="201"/>
      <c r="P49" s="201">
        <f t="shared" si="6"/>
        <v>390000</v>
      </c>
      <c r="R49" s="746">
        <f t="shared" si="3"/>
        <v>0</v>
      </c>
      <c r="S49" s="501">
        <f t="shared" si="2"/>
        <v>0</v>
      </c>
    </row>
    <row r="50" spans="1:19" s="82" customFormat="1" ht="31.5">
      <c r="A50" s="203" t="s">
        <v>173</v>
      </c>
      <c r="B50" s="203" t="s">
        <v>172</v>
      </c>
      <c r="C50" s="216"/>
      <c r="D50" s="192" t="s">
        <v>339</v>
      </c>
      <c r="E50" s="174">
        <f aca="true" t="shared" si="11" ref="E50:E64">F50+I50</f>
        <v>40516374</v>
      </c>
      <c r="F50" s="206">
        <f aca="true" t="shared" si="12" ref="F50:O50">F51</f>
        <v>40516374</v>
      </c>
      <c r="G50" s="206">
        <f t="shared" si="12"/>
        <v>11848462</v>
      </c>
      <c r="H50" s="206">
        <f t="shared" si="12"/>
        <v>223637</v>
      </c>
      <c r="I50" s="206">
        <f t="shared" si="12"/>
        <v>0</v>
      </c>
      <c r="J50" s="206">
        <f>J51</f>
        <v>115000</v>
      </c>
      <c r="K50" s="206">
        <f t="shared" si="12"/>
        <v>0</v>
      </c>
      <c r="L50" s="206">
        <f t="shared" si="12"/>
        <v>0</v>
      </c>
      <c r="M50" s="206">
        <f t="shared" si="12"/>
        <v>0</v>
      </c>
      <c r="N50" s="206">
        <f t="shared" si="12"/>
        <v>0</v>
      </c>
      <c r="O50" s="206">
        <f t="shared" si="12"/>
        <v>115000</v>
      </c>
      <c r="P50" s="206">
        <f t="shared" si="6"/>
        <v>40631374</v>
      </c>
      <c r="R50" s="746">
        <f t="shared" si="3"/>
        <v>-115000</v>
      </c>
      <c r="S50" s="501">
        <f t="shared" si="2"/>
        <v>115000</v>
      </c>
    </row>
    <row r="51" spans="1:19" s="82" customFormat="1" ht="31.5">
      <c r="A51" s="203" t="s">
        <v>174</v>
      </c>
      <c r="B51" s="203"/>
      <c r="C51" s="216"/>
      <c r="D51" s="175" t="s">
        <v>340</v>
      </c>
      <c r="E51" s="174">
        <f t="shared" si="11"/>
        <v>40516374</v>
      </c>
      <c r="F51" s="206">
        <f>SUM(F52:F60)</f>
        <v>40516374</v>
      </c>
      <c r="G51" s="206">
        <f>SUM(G52:G60)</f>
        <v>11848462</v>
      </c>
      <c r="H51" s="206">
        <f>SUM(H52:H60)</f>
        <v>223637</v>
      </c>
      <c r="I51" s="206">
        <f>SUM(I52:I60)</f>
        <v>0</v>
      </c>
      <c r="J51" s="206">
        <f>L51+O51</f>
        <v>115000</v>
      </c>
      <c r="K51" s="206">
        <f>SUM(K52:K60)</f>
        <v>0</v>
      </c>
      <c r="L51" s="206">
        <f>SUM(L52:L60)</f>
        <v>0</v>
      </c>
      <c r="M51" s="206">
        <f>SUM(M52:M60)</f>
        <v>0</v>
      </c>
      <c r="N51" s="206">
        <f>SUM(N52:N60)</f>
        <v>0</v>
      </c>
      <c r="O51" s="206">
        <f>SUM(O52:O60)</f>
        <v>115000</v>
      </c>
      <c r="P51" s="206">
        <f t="shared" si="6"/>
        <v>40631374</v>
      </c>
      <c r="R51" s="746">
        <f t="shared" si="3"/>
        <v>-115000</v>
      </c>
      <c r="S51" s="501">
        <f t="shared" si="2"/>
        <v>115000</v>
      </c>
    </row>
    <row r="52" spans="1:19" s="83" customFormat="1" ht="62.25" customHeight="1">
      <c r="A52" s="629" t="s">
        <v>177</v>
      </c>
      <c r="B52" s="629" t="s">
        <v>176</v>
      </c>
      <c r="C52" s="217" t="s">
        <v>47</v>
      </c>
      <c r="D52" s="295" t="s">
        <v>770</v>
      </c>
      <c r="E52" s="165">
        <f t="shared" si="11"/>
        <v>13153903</v>
      </c>
      <c r="F52" s="165">
        <v>13153903</v>
      </c>
      <c r="G52" s="165">
        <v>9778853</v>
      </c>
      <c r="H52" s="165">
        <f>6000+109143+102494+6000</f>
        <v>223637</v>
      </c>
      <c r="I52" s="165"/>
      <c r="J52" s="201">
        <f>L52+O52</f>
        <v>0</v>
      </c>
      <c r="K52" s="201"/>
      <c r="L52" s="201"/>
      <c r="M52" s="201"/>
      <c r="N52" s="201"/>
      <c r="O52" s="201"/>
      <c r="P52" s="201">
        <f t="shared" si="6"/>
        <v>13153903</v>
      </c>
      <c r="R52" s="746">
        <f t="shared" si="3"/>
        <v>0</v>
      </c>
      <c r="S52" s="501">
        <f t="shared" si="2"/>
        <v>0</v>
      </c>
    </row>
    <row r="53" spans="1:19" s="83" customFormat="1" ht="31.5">
      <c r="A53" s="626" t="s">
        <v>381</v>
      </c>
      <c r="B53" s="626" t="s">
        <v>380</v>
      </c>
      <c r="C53" s="280" t="s">
        <v>50</v>
      </c>
      <c r="D53" s="173" t="s">
        <v>382</v>
      </c>
      <c r="E53" s="165">
        <f t="shared" si="11"/>
        <v>350000</v>
      </c>
      <c r="F53" s="165">
        <v>350000</v>
      </c>
      <c r="G53" s="165"/>
      <c r="H53" s="165"/>
      <c r="I53" s="165"/>
      <c r="J53" s="201"/>
      <c r="K53" s="201"/>
      <c r="L53" s="201"/>
      <c r="M53" s="201"/>
      <c r="N53" s="201"/>
      <c r="O53" s="201"/>
      <c r="P53" s="201">
        <f t="shared" si="6"/>
        <v>350000</v>
      </c>
      <c r="R53" s="746">
        <f t="shared" si="3"/>
        <v>0</v>
      </c>
      <c r="S53" s="501">
        <f t="shared" si="2"/>
        <v>0</v>
      </c>
    </row>
    <row r="54" spans="1:19" s="274" customFormat="1" ht="37.5" customHeight="1">
      <c r="A54" s="626" t="s">
        <v>175</v>
      </c>
      <c r="B54" s="626" t="s">
        <v>78</v>
      </c>
      <c r="C54" s="182" t="s">
        <v>50</v>
      </c>
      <c r="D54" s="198" t="s">
        <v>41</v>
      </c>
      <c r="E54" s="165">
        <f t="shared" si="11"/>
        <v>8000000</v>
      </c>
      <c r="F54" s="165">
        <v>8000000</v>
      </c>
      <c r="G54" s="201"/>
      <c r="H54" s="201"/>
      <c r="I54" s="201"/>
      <c r="J54" s="201">
        <f>L54+O54</f>
        <v>0</v>
      </c>
      <c r="K54" s="201"/>
      <c r="L54" s="201"/>
      <c r="M54" s="201"/>
      <c r="N54" s="201"/>
      <c r="O54" s="201"/>
      <c r="P54" s="201">
        <f>E54+J54</f>
        <v>8000000</v>
      </c>
      <c r="R54" s="746">
        <f t="shared" si="3"/>
        <v>0</v>
      </c>
      <c r="S54" s="501">
        <f t="shared" si="2"/>
        <v>0</v>
      </c>
    </row>
    <row r="55" spans="1:19" s="274" customFormat="1" ht="48.75" customHeight="1">
      <c r="A55" s="626" t="s">
        <v>520</v>
      </c>
      <c r="B55" s="626" t="s">
        <v>522</v>
      </c>
      <c r="C55" s="182" t="s">
        <v>50</v>
      </c>
      <c r="D55" s="198" t="s">
        <v>523</v>
      </c>
      <c r="E55" s="165">
        <f t="shared" si="11"/>
        <v>1000000</v>
      </c>
      <c r="F55" s="165">
        <v>1000000</v>
      </c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R55" s="746">
        <f t="shared" si="3"/>
        <v>0</v>
      </c>
      <c r="S55" s="501">
        <f t="shared" si="2"/>
        <v>0</v>
      </c>
    </row>
    <row r="56" spans="1:19" s="274" customFormat="1" ht="47.25">
      <c r="A56" s="626" t="s">
        <v>395</v>
      </c>
      <c r="B56" s="626" t="s">
        <v>396</v>
      </c>
      <c r="C56" s="182" t="s">
        <v>54</v>
      </c>
      <c r="D56" s="198" t="s">
        <v>397</v>
      </c>
      <c r="E56" s="165">
        <f t="shared" si="11"/>
        <v>2461171</v>
      </c>
      <c r="F56" s="165">
        <v>2461171</v>
      </c>
      <c r="G56" s="201">
        <v>2007071</v>
      </c>
      <c r="H56" s="201"/>
      <c r="I56" s="201"/>
      <c r="J56" s="201"/>
      <c r="K56" s="201"/>
      <c r="L56" s="201"/>
      <c r="M56" s="201"/>
      <c r="N56" s="201"/>
      <c r="O56" s="201"/>
      <c r="P56" s="201">
        <f>E56+J56</f>
        <v>2461171</v>
      </c>
      <c r="R56" s="746">
        <f t="shared" si="3"/>
        <v>0</v>
      </c>
      <c r="S56" s="501">
        <f t="shared" si="2"/>
        <v>0</v>
      </c>
    </row>
    <row r="57" spans="1:19" s="274" customFormat="1" ht="63">
      <c r="A57" s="626" t="s">
        <v>178</v>
      </c>
      <c r="B57" s="626" t="s">
        <v>73</v>
      </c>
      <c r="C57" s="182" t="s">
        <v>52</v>
      </c>
      <c r="D57" s="198" t="s">
        <v>27</v>
      </c>
      <c r="E57" s="165">
        <f t="shared" si="11"/>
        <v>475000</v>
      </c>
      <c r="F57" s="165">
        <v>475000</v>
      </c>
      <c r="G57" s="165"/>
      <c r="H57" s="165"/>
      <c r="I57" s="165"/>
      <c r="J57" s="165"/>
      <c r="K57" s="165"/>
      <c r="L57" s="165"/>
      <c r="M57" s="165"/>
      <c r="N57" s="165"/>
      <c r="O57" s="165"/>
      <c r="P57" s="201">
        <f aca="true" t="shared" si="13" ref="P57:P102">E57+J57</f>
        <v>475000</v>
      </c>
      <c r="R57" s="746">
        <f t="shared" si="3"/>
        <v>0</v>
      </c>
      <c r="S57" s="501">
        <f t="shared" si="2"/>
        <v>0</v>
      </c>
    </row>
    <row r="58" spans="1:19" s="79" customFormat="1" ht="28.5" customHeight="1">
      <c r="A58" s="207" t="s">
        <v>26</v>
      </c>
      <c r="B58" s="207" t="s">
        <v>11</v>
      </c>
      <c r="C58" s="199" t="s">
        <v>33</v>
      </c>
      <c r="D58" s="198" t="s">
        <v>34</v>
      </c>
      <c r="E58" s="165">
        <f t="shared" si="11"/>
        <v>76300</v>
      </c>
      <c r="F58" s="165">
        <v>76300</v>
      </c>
      <c r="G58" s="201">
        <v>62538</v>
      </c>
      <c r="H58" s="201"/>
      <c r="I58" s="201"/>
      <c r="J58" s="201">
        <f>L58+O58</f>
        <v>0</v>
      </c>
      <c r="K58" s="201"/>
      <c r="L58" s="201"/>
      <c r="M58" s="201"/>
      <c r="N58" s="201"/>
      <c r="O58" s="201"/>
      <c r="P58" s="201">
        <f t="shared" si="13"/>
        <v>76300</v>
      </c>
      <c r="R58" s="746">
        <f t="shared" si="3"/>
        <v>0</v>
      </c>
      <c r="S58" s="170">
        <f t="shared" si="2"/>
        <v>0</v>
      </c>
    </row>
    <row r="59" spans="1:19" s="79" customFormat="1" ht="42.75" customHeight="1">
      <c r="A59" s="207" t="s">
        <v>28</v>
      </c>
      <c r="B59" s="207" t="s">
        <v>12</v>
      </c>
      <c r="C59" s="199" t="s">
        <v>53</v>
      </c>
      <c r="D59" s="219" t="s">
        <v>13</v>
      </c>
      <c r="E59" s="165">
        <f t="shared" si="11"/>
        <v>15000000</v>
      </c>
      <c r="F59" s="165">
        <v>15000000</v>
      </c>
      <c r="G59" s="165"/>
      <c r="H59" s="165"/>
      <c r="I59" s="165"/>
      <c r="J59" s="201">
        <f>L59+O59</f>
        <v>0</v>
      </c>
      <c r="K59" s="165"/>
      <c r="L59" s="165"/>
      <c r="M59" s="165"/>
      <c r="N59" s="165"/>
      <c r="O59" s="165"/>
      <c r="P59" s="201">
        <f t="shared" si="13"/>
        <v>15000000</v>
      </c>
      <c r="R59" s="746">
        <f t="shared" si="3"/>
        <v>0</v>
      </c>
      <c r="S59" s="170">
        <f t="shared" si="2"/>
        <v>0</v>
      </c>
    </row>
    <row r="60" spans="1:19" s="79" customFormat="1" ht="94.5">
      <c r="A60" s="207" t="s">
        <v>439</v>
      </c>
      <c r="B60" s="207" t="s">
        <v>14</v>
      </c>
      <c r="C60" s="208" t="s">
        <v>61</v>
      </c>
      <c r="D60" s="98" t="s">
        <v>274</v>
      </c>
      <c r="E60" s="165">
        <f>F60+I60</f>
        <v>0</v>
      </c>
      <c r="F60" s="165"/>
      <c r="G60" s="165"/>
      <c r="H60" s="165"/>
      <c r="I60" s="165"/>
      <c r="J60" s="201">
        <f>L60+O60</f>
        <v>115000</v>
      </c>
      <c r="K60" s="165"/>
      <c r="L60" s="165"/>
      <c r="M60" s="165"/>
      <c r="N60" s="165"/>
      <c r="O60" s="165">
        <v>115000</v>
      </c>
      <c r="P60" s="201">
        <f>E60+J60</f>
        <v>115000</v>
      </c>
      <c r="R60" s="746">
        <f t="shared" si="3"/>
        <v>-115000</v>
      </c>
      <c r="S60" s="170">
        <f t="shared" si="2"/>
        <v>115000</v>
      </c>
    </row>
    <row r="61" spans="1:19" s="69" customFormat="1" ht="31.5">
      <c r="A61" s="203" t="s">
        <v>40</v>
      </c>
      <c r="B61" s="203" t="s">
        <v>75</v>
      </c>
      <c r="C61" s="204"/>
      <c r="D61" s="205" t="s">
        <v>341</v>
      </c>
      <c r="E61" s="174">
        <f t="shared" si="11"/>
        <v>45806318</v>
      </c>
      <c r="F61" s="206">
        <f aca="true" t="shared" si="14" ref="F61:O61">F62</f>
        <v>45806318</v>
      </c>
      <c r="G61" s="206">
        <f t="shared" si="14"/>
        <v>32328234</v>
      </c>
      <c r="H61" s="206">
        <f t="shared" si="14"/>
        <v>2563202</v>
      </c>
      <c r="I61" s="206">
        <f t="shared" si="14"/>
        <v>0</v>
      </c>
      <c r="J61" s="206">
        <f t="shared" si="14"/>
        <v>12002400</v>
      </c>
      <c r="K61" s="206">
        <f t="shared" si="14"/>
        <v>90000</v>
      </c>
      <c r="L61" s="206">
        <f t="shared" si="14"/>
        <v>10987400</v>
      </c>
      <c r="M61" s="206">
        <f t="shared" si="14"/>
        <v>6132400</v>
      </c>
      <c r="N61" s="206">
        <f t="shared" si="14"/>
        <v>1035000</v>
      </c>
      <c r="O61" s="206">
        <f t="shared" si="14"/>
        <v>1015000</v>
      </c>
      <c r="P61" s="206">
        <f t="shared" si="13"/>
        <v>57808718</v>
      </c>
      <c r="R61" s="746">
        <f t="shared" si="3"/>
        <v>-925000</v>
      </c>
      <c r="S61" s="170">
        <f t="shared" si="2"/>
        <v>925000</v>
      </c>
    </row>
    <row r="62" spans="1:19" s="69" customFormat="1" ht="31.5">
      <c r="A62" s="203" t="s">
        <v>44</v>
      </c>
      <c r="B62" s="203"/>
      <c r="C62" s="204"/>
      <c r="D62" s="205" t="s">
        <v>342</v>
      </c>
      <c r="E62" s="174">
        <f t="shared" si="11"/>
        <v>45806318</v>
      </c>
      <c r="F62" s="206">
        <f>SUM(F63:F70)</f>
        <v>45806318</v>
      </c>
      <c r="G62" s="206">
        <f>SUM(G63:G70)</f>
        <v>32328234</v>
      </c>
      <c r="H62" s="206">
        <f>SUM(H63:H70)</f>
        <v>2563202</v>
      </c>
      <c r="I62" s="206">
        <f>SUM(I63:I70)</f>
        <v>0</v>
      </c>
      <c r="J62" s="206">
        <f>L62+O62</f>
        <v>12002400</v>
      </c>
      <c r="K62" s="206">
        <f>SUM(K63:K70)</f>
        <v>90000</v>
      </c>
      <c r="L62" s="206">
        <f>SUM(L63:L70)</f>
        <v>10987400</v>
      </c>
      <c r="M62" s="206">
        <f>SUM(M63:M70)</f>
        <v>6132400</v>
      </c>
      <c r="N62" s="206">
        <f>SUM(N63:N70)</f>
        <v>1035000</v>
      </c>
      <c r="O62" s="206">
        <f>SUM(O63:O70)</f>
        <v>1015000</v>
      </c>
      <c r="P62" s="206">
        <f t="shared" si="13"/>
        <v>57808718</v>
      </c>
      <c r="R62" s="746">
        <f t="shared" si="3"/>
        <v>-925000</v>
      </c>
      <c r="S62" s="170">
        <f t="shared" si="2"/>
        <v>925000</v>
      </c>
    </row>
    <row r="63" spans="1:19" s="69" customFormat="1" ht="52.5" customHeight="1">
      <c r="A63" s="207" t="s">
        <v>384</v>
      </c>
      <c r="B63" s="207" t="s">
        <v>176</v>
      </c>
      <c r="C63" s="199" t="s">
        <v>47</v>
      </c>
      <c r="D63" s="295" t="s">
        <v>770</v>
      </c>
      <c r="E63" s="165">
        <f t="shared" si="11"/>
        <v>1348616</v>
      </c>
      <c r="F63" s="201">
        <v>1348616</v>
      </c>
      <c r="G63" s="201">
        <v>1046935</v>
      </c>
      <c r="H63" s="206"/>
      <c r="I63" s="206"/>
      <c r="J63" s="201">
        <f>L63+O63</f>
        <v>0</v>
      </c>
      <c r="K63" s="206"/>
      <c r="L63" s="206"/>
      <c r="M63" s="206"/>
      <c r="N63" s="206"/>
      <c r="O63" s="206"/>
      <c r="P63" s="201">
        <f t="shared" si="13"/>
        <v>1348616</v>
      </c>
      <c r="R63" s="746">
        <f t="shared" si="3"/>
        <v>0</v>
      </c>
      <c r="S63" s="170">
        <f t="shared" si="2"/>
        <v>0</v>
      </c>
    </row>
    <row r="64" spans="1:19" ht="25.5" customHeight="1">
      <c r="A64" s="207" t="s">
        <v>779</v>
      </c>
      <c r="B64" s="207" t="s">
        <v>780</v>
      </c>
      <c r="C64" s="199" t="s">
        <v>58</v>
      </c>
      <c r="D64" s="176" t="s">
        <v>404</v>
      </c>
      <c r="E64" s="165">
        <f t="shared" si="11"/>
        <v>19747774</v>
      </c>
      <c r="F64" s="165">
        <v>19747774</v>
      </c>
      <c r="G64" s="165">
        <v>15502688</v>
      </c>
      <c r="H64" s="165">
        <v>361700</v>
      </c>
      <c r="I64" s="165"/>
      <c r="J64" s="201">
        <f>L64+O64</f>
        <v>1890000</v>
      </c>
      <c r="K64" s="201"/>
      <c r="L64" s="165">
        <v>1890000</v>
      </c>
      <c r="M64" s="165">
        <v>1475400</v>
      </c>
      <c r="N64" s="165"/>
      <c r="O64" s="201"/>
      <c r="P64" s="201">
        <f t="shared" si="13"/>
        <v>21637774</v>
      </c>
      <c r="R64" s="746">
        <f t="shared" si="3"/>
        <v>0</v>
      </c>
      <c r="S64" s="170">
        <f t="shared" si="2"/>
        <v>0</v>
      </c>
    </row>
    <row r="65" spans="1:19" ht="19.5" customHeight="1">
      <c r="A65" s="207" t="s">
        <v>197</v>
      </c>
      <c r="B65" s="207" t="s">
        <v>198</v>
      </c>
      <c r="C65" s="199" t="s">
        <v>199</v>
      </c>
      <c r="D65" s="209" t="s">
        <v>200</v>
      </c>
      <c r="E65" s="201">
        <f>F65</f>
        <v>8195077</v>
      </c>
      <c r="F65" s="201">
        <v>8195077</v>
      </c>
      <c r="G65" s="201">
        <v>6040146</v>
      </c>
      <c r="H65" s="201">
        <v>466705</v>
      </c>
      <c r="I65" s="201"/>
      <c r="J65" s="201">
        <f aca="true" t="shared" si="15" ref="J65:J90">L65+O65</f>
        <v>821200</v>
      </c>
      <c r="K65" s="201"/>
      <c r="L65" s="201">
        <v>821200</v>
      </c>
      <c r="M65" s="201">
        <v>300000</v>
      </c>
      <c r="N65" s="201">
        <v>45000</v>
      </c>
      <c r="O65" s="201"/>
      <c r="P65" s="201">
        <f t="shared" si="13"/>
        <v>9016277</v>
      </c>
      <c r="R65" s="746">
        <f t="shared" si="3"/>
        <v>0</v>
      </c>
      <c r="S65" s="170">
        <f t="shared" si="2"/>
        <v>0</v>
      </c>
    </row>
    <row r="66" spans="1:19" ht="20.25" customHeight="1">
      <c r="A66" s="207" t="s">
        <v>189</v>
      </c>
      <c r="B66" s="207" t="s">
        <v>190</v>
      </c>
      <c r="C66" s="199" t="s">
        <v>56</v>
      </c>
      <c r="D66" s="176" t="s">
        <v>191</v>
      </c>
      <c r="E66" s="165">
        <f>F66+I66</f>
        <v>4509078</v>
      </c>
      <c r="F66" s="165">
        <f>4549078-40000</f>
        <v>4509078</v>
      </c>
      <c r="G66" s="165">
        <v>3399152</v>
      </c>
      <c r="H66" s="165">
        <v>292658</v>
      </c>
      <c r="I66" s="165"/>
      <c r="J66" s="201">
        <f t="shared" si="15"/>
        <v>181000</v>
      </c>
      <c r="K66" s="201">
        <v>40000</v>
      </c>
      <c r="L66" s="165">
        <v>141000</v>
      </c>
      <c r="M66" s="165"/>
      <c r="N66" s="165">
        <v>75000</v>
      </c>
      <c r="O66" s="201">
        <v>40000</v>
      </c>
      <c r="P66" s="201">
        <f t="shared" si="13"/>
        <v>4690078</v>
      </c>
      <c r="R66" s="746">
        <f t="shared" si="3"/>
        <v>0</v>
      </c>
      <c r="S66" s="170">
        <f t="shared" si="2"/>
        <v>0</v>
      </c>
    </row>
    <row r="67" spans="1:19" ht="19.5" customHeight="1">
      <c r="A67" s="207" t="s">
        <v>192</v>
      </c>
      <c r="B67" s="207" t="s">
        <v>193</v>
      </c>
      <c r="C67" s="199" t="s">
        <v>56</v>
      </c>
      <c r="D67" s="176" t="s">
        <v>194</v>
      </c>
      <c r="E67" s="165">
        <f>F67+I67</f>
        <v>0</v>
      </c>
      <c r="F67" s="165"/>
      <c r="G67" s="165"/>
      <c r="H67" s="165"/>
      <c r="I67" s="165"/>
      <c r="J67" s="201">
        <f t="shared" si="15"/>
        <v>8600000</v>
      </c>
      <c r="K67" s="201"/>
      <c r="L67" s="165">
        <v>7675000</v>
      </c>
      <c r="M67" s="165">
        <v>4170000</v>
      </c>
      <c r="N67" s="165">
        <v>915000</v>
      </c>
      <c r="O67" s="201">
        <v>925000</v>
      </c>
      <c r="P67" s="201">
        <f t="shared" si="13"/>
        <v>8600000</v>
      </c>
      <c r="R67" s="746">
        <f t="shared" si="3"/>
        <v>-925000</v>
      </c>
      <c r="S67" s="170">
        <f t="shared" si="2"/>
        <v>925000</v>
      </c>
    </row>
    <row r="68" spans="1:19" ht="33.75" customHeight="1">
      <c r="A68" s="207" t="s">
        <v>195</v>
      </c>
      <c r="B68" s="207" t="s">
        <v>79</v>
      </c>
      <c r="C68" s="199" t="s">
        <v>57</v>
      </c>
      <c r="D68" s="176" t="s">
        <v>196</v>
      </c>
      <c r="E68" s="165">
        <f>F68+I68</f>
        <v>7922835</v>
      </c>
      <c r="F68" s="165">
        <v>7922835</v>
      </c>
      <c r="G68" s="165">
        <v>4687669</v>
      </c>
      <c r="H68" s="165">
        <v>1442139</v>
      </c>
      <c r="I68" s="165"/>
      <c r="J68" s="201">
        <f t="shared" si="15"/>
        <v>460200</v>
      </c>
      <c r="K68" s="201"/>
      <c r="L68" s="165">
        <v>460200</v>
      </c>
      <c r="M68" s="165">
        <v>187000</v>
      </c>
      <c r="N68" s="165"/>
      <c r="O68" s="201"/>
      <c r="P68" s="201">
        <f t="shared" si="13"/>
        <v>8383035</v>
      </c>
      <c r="R68" s="746">
        <f t="shared" si="3"/>
        <v>0</v>
      </c>
      <c r="S68" s="170">
        <f t="shared" si="2"/>
        <v>0</v>
      </c>
    </row>
    <row r="69" spans="1:19" ht="36.75" customHeight="1">
      <c r="A69" s="207" t="s">
        <v>16</v>
      </c>
      <c r="B69" s="207" t="s">
        <v>18</v>
      </c>
      <c r="C69" s="199" t="s">
        <v>59</v>
      </c>
      <c r="D69" s="295" t="s">
        <v>20</v>
      </c>
      <c r="E69" s="165">
        <f>F69+I69</f>
        <v>2132938</v>
      </c>
      <c r="F69" s="165">
        <v>2132938</v>
      </c>
      <c r="G69" s="165">
        <v>1651644</v>
      </c>
      <c r="H69" s="165"/>
      <c r="I69" s="165"/>
      <c r="J69" s="201">
        <f>L69+O69</f>
        <v>0</v>
      </c>
      <c r="K69" s="201"/>
      <c r="L69" s="165"/>
      <c r="M69" s="165"/>
      <c r="N69" s="165"/>
      <c r="O69" s="201"/>
      <c r="P69" s="201">
        <f t="shared" si="13"/>
        <v>2132938</v>
      </c>
      <c r="R69" s="746">
        <f t="shared" si="3"/>
        <v>0</v>
      </c>
      <c r="S69" s="170">
        <f t="shared" si="2"/>
        <v>0</v>
      </c>
    </row>
    <row r="70" spans="1:19" ht="18.75" customHeight="1">
      <c r="A70" s="207" t="s">
        <v>17</v>
      </c>
      <c r="B70" s="207" t="s">
        <v>19</v>
      </c>
      <c r="C70" s="199" t="s">
        <v>59</v>
      </c>
      <c r="D70" s="295" t="s">
        <v>21</v>
      </c>
      <c r="E70" s="165">
        <f>F70+I70</f>
        <v>1950000</v>
      </c>
      <c r="F70" s="165">
        <v>1950000</v>
      </c>
      <c r="G70" s="165"/>
      <c r="H70" s="165"/>
      <c r="I70" s="165"/>
      <c r="J70" s="201">
        <f t="shared" si="15"/>
        <v>50000</v>
      </c>
      <c r="K70" s="165">
        <v>50000</v>
      </c>
      <c r="L70" s="165"/>
      <c r="M70" s="165"/>
      <c r="N70" s="165"/>
      <c r="O70" s="165">
        <v>50000</v>
      </c>
      <c r="P70" s="201">
        <f t="shared" si="13"/>
        <v>2000000</v>
      </c>
      <c r="R70" s="746">
        <f t="shared" si="3"/>
        <v>0</v>
      </c>
      <c r="S70" s="170">
        <f t="shared" si="2"/>
        <v>0</v>
      </c>
    </row>
    <row r="71" spans="1:19" s="69" customFormat="1" ht="34.5" customHeight="1">
      <c r="A71" s="203" t="s">
        <v>213</v>
      </c>
      <c r="B71" s="203" t="s">
        <v>212</v>
      </c>
      <c r="C71" s="204"/>
      <c r="D71" s="205" t="s">
        <v>343</v>
      </c>
      <c r="E71" s="206">
        <f>E72</f>
        <v>130376619</v>
      </c>
      <c r="F71" s="206">
        <f aca="true" t="shared" si="16" ref="F71:O71">F72</f>
        <v>36791620</v>
      </c>
      <c r="G71" s="206">
        <f t="shared" si="16"/>
        <v>7014673</v>
      </c>
      <c r="H71" s="206">
        <f t="shared" si="16"/>
        <v>149970</v>
      </c>
      <c r="I71" s="206">
        <f t="shared" si="16"/>
        <v>93584999</v>
      </c>
      <c r="J71" s="174">
        <f t="shared" si="15"/>
        <v>66432024</v>
      </c>
      <c r="K71" s="206">
        <f t="shared" si="16"/>
        <v>65232284</v>
      </c>
      <c r="L71" s="206">
        <f t="shared" si="16"/>
        <v>961640</v>
      </c>
      <c r="M71" s="206">
        <f t="shared" si="16"/>
        <v>495000</v>
      </c>
      <c r="N71" s="206">
        <f t="shared" si="16"/>
        <v>0</v>
      </c>
      <c r="O71" s="206">
        <f t="shared" si="16"/>
        <v>65470384</v>
      </c>
      <c r="P71" s="206">
        <f t="shared" si="13"/>
        <v>196808643</v>
      </c>
      <c r="R71" s="746">
        <f t="shared" si="3"/>
        <v>-238100</v>
      </c>
      <c r="S71" s="170">
        <f t="shared" si="2"/>
        <v>238100</v>
      </c>
    </row>
    <row r="72" spans="1:19" s="69" customFormat="1" ht="37.5" customHeight="1">
      <c r="A72" s="203" t="s">
        <v>214</v>
      </c>
      <c r="B72" s="203"/>
      <c r="C72" s="204"/>
      <c r="D72" s="205" t="s">
        <v>344</v>
      </c>
      <c r="E72" s="206">
        <f>F72+I72</f>
        <v>130376619</v>
      </c>
      <c r="F72" s="206">
        <f>SUM(F73:F90)</f>
        <v>36791620</v>
      </c>
      <c r="G72" s="206">
        <f>SUM(G73:G90)</f>
        <v>7014673</v>
      </c>
      <c r="H72" s="206">
        <f>SUM(H73:H90)</f>
        <v>149970</v>
      </c>
      <c r="I72" s="206">
        <f>SUM(I73:I90)</f>
        <v>93584999</v>
      </c>
      <c r="J72" s="174">
        <f t="shared" si="15"/>
        <v>66432024</v>
      </c>
      <c r="K72" s="206">
        <f>SUM(K73:K90)</f>
        <v>65232284</v>
      </c>
      <c r="L72" s="206">
        <f>SUM(L73:L90)</f>
        <v>961640</v>
      </c>
      <c r="M72" s="206">
        <f>SUM(M73:M90)</f>
        <v>495000</v>
      </c>
      <c r="N72" s="206">
        <f>SUM(N73:N90)</f>
        <v>0</v>
      </c>
      <c r="O72" s="206">
        <f>SUM(O73:O90)</f>
        <v>65470384</v>
      </c>
      <c r="P72" s="206">
        <f t="shared" si="13"/>
        <v>196808643</v>
      </c>
      <c r="R72" s="746">
        <f t="shared" si="3"/>
        <v>-238100</v>
      </c>
      <c r="S72" s="170">
        <f t="shared" si="2"/>
        <v>238100</v>
      </c>
    </row>
    <row r="73" spans="1:19" s="99" customFormat="1" ht="47.25" customHeight="1">
      <c r="A73" s="382" t="s">
        <v>215</v>
      </c>
      <c r="B73" s="382" t="s">
        <v>176</v>
      </c>
      <c r="C73" s="280" t="s">
        <v>47</v>
      </c>
      <c r="D73" s="295" t="s">
        <v>770</v>
      </c>
      <c r="E73" s="165">
        <f>F73+I73</f>
        <v>9034086</v>
      </c>
      <c r="F73" s="165">
        <f>6029355+3572665-465520-102414</f>
        <v>9034086</v>
      </c>
      <c r="G73" s="165">
        <f>4687078+2793115-465520</f>
        <v>7014673</v>
      </c>
      <c r="H73" s="165">
        <f>89420+60550</f>
        <v>149970</v>
      </c>
      <c r="I73" s="165"/>
      <c r="J73" s="165">
        <f t="shared" si="15"/>
        <v>779140</v>
      </c>
      <c r="K73" s="165"/>
      <c r="L73" s="165">
        <v>761640</v>
      </c>
      <c r="M73" s="165">
        <v>495000</v>
      </c>
      <c r="N73" s="165"/>
      <c r="O73" s="165">
        <v>17500</v>
      </c>
      <c r="P73" s="201">
        <f t="shared" si="13"/>
        <v>9813226</v>
      </c>
      <c r="R73" s="746">
        <f t="shared" si="3"/>
        <v>-17500</v>
      </c>
      <c r="S73" s="170">
        <f t="shared" si="2"/>
        <v>17500</v>
      </c>
    </row>
    <row r="74" spans="1:19" s="274" customFormat="1" ht="23.25" customHeight="1">
      <c r="A74" s="279" t="s">
        <v>559</v>
      </c>
      <c r="B74" s="279" t="s">
        <v>64</v>
      </c>
      <c r="C74" s="280" t="s">
        <v>55</v>
      </c>
      <c r="D74" s="198" t="s">
        <v>185</v>
      </c>
      <c r="E74" s="165">
        <f>F74+I74</f>
        <v>100000</v>
      </c>
      <c r="F74" s="165">
        <v>100000</v>
      </c>
      <c r="G74" s="165"/>
      <c r="H74" s="165"/>
      <c r="I74" s="165"/>
      <c r="J74" s="165">
        <f>L74+O74</f>
        <v>0</v>
      </c>
      <c r="K74" s="165"/>
      <c r="L74" s="165"/>
      <c r="M74" s="165"/>
      <c r="N74" s="165"/>
      <c r="O74" s="165"/>
      <c r="P74" s="201">
        <f>E74+J74</f>
        <v>100000</v>
      </c>
      <c r="R74" s="746">
        <f t="shared" si="3"/>
        <v>0</v>
      </c>
      <c r="S74" s="170">
        <f t="shared" si="2"/>
        <v>0</v>
      </c>
    </row>
    <row r="75" spans="1:19" s="9" customFormat="1" ht="29.25" customHeight="1">
      <c r="A75" s="207" t="s">
        <v>25</v>
      </c>
      <c r="B75" s="207" t="s">
        <v>11</v>
      </c>
      <c r="C75" s="199" t="s">
        <v>33</v>
      </c>
      <c r="D75" s="198" t="s">
        <v>34</v>
      </c>
      <c r="E75" s="201">
        <f>F75+I75</f>
        <v>80000</v>
      </c>
      <c r="F75" s="201">
        <f>30000+50000</f>
        <v>80000</v>
      </c>
      <c r="G75" s="201"/>
      <c r="H75" s="201"/>
      <c r="I75" s="201"/>
      <c r="J75" s="201">
        <f t="shared" si="15"/>
        <v>0</v>
      </c>
      <c r="K75" s="201"/>
      <c r="L75" s="201"/>
      <c r="M75" s="201"/>
      <c r="N75" s="201"/>
      <c r="O75" s="201"/>
      <c r="P75" s="201">
        <f t="shared" si="13"/>
        <v>80000</v>
      </c>
      <c r="R75" s="746">
        <f t="shared" si="3"/>
        <v>0</v>
      </c>
      <c r="S75" s="170">
        <f t="shared" si="2"/>
        <v>0</v>
      </c>
    </row>
    <row r="76" spans="1:19" s="274" customFormat="1" ht="29.25" customHeight="1">
      <c r="A76" s="279" t="s">
        <v>231</v>
      </c>
      <c r="B76" s="279" t="s">
        <v>232</v>
      </c>
      <c r="C76" s="172" t="s">
        <v>60</v>
      </c>
      <c r="D76" s="173" t="s">
        <v>233</v>
      </c>
      <c r="E76" s="201">
        <f aca="true" t="shared" si="17" ref="E76:E93">F76+I76</f>
        <v>3120000</v>
      </c>
      <c r="F76" s="201"/>
      <c r="G76" s="201"/>
      <c r="H76" s="201"/>
      <c r="I76" s="201">
        <f>1520000+1600000</f>
        <v>3120000</v>
      </c>
      <c r="J76" s="165">
        <f t="shared" si="15"/>
        <v>8880000</v>
      </c>
      <c r="K76" s="201">
        <v>8880000</v>
      </c>
      <c r="L76" s="201"/>
      <c r="M76" s="201"/>
      <c r="N76" s="201"/>
      <c r="O76" s="201">
        <v>8880000</v>
      </c>
      <c r="P76" s="201">
        <f>E76+J76</f>
        <v>12000000</v>
      </c>
      <c r="R76" s="746">
        <f t="shared" si="3"/>
        <v>0</v>
      </c>
      <c r="S76" s="170">
        <f aca="true" t="shared" si="18" ref="S76:S111">O76-K76</f>
        <v>0</v>
      </c>
    </row>
    <row r="77" spans="1:19" s="274" customFormat="1" ht="26.25" customHeight="1">
      <c r="A77" s="279" t="s">
        <v>222</v>
      </c>
      <c r="B77" s="279" t="s">
        <v>80</v>
      </c>
      <c r="C77" s="280" t="s">
        <v>60</v>
      </c>
      <c r="D77" s="197" t="s">
        <v>223</v>
      </c>
      <c r="E77" s="201">
        <f t="shared" si="17"/>
        <v>88561558</v>
      </c>
      <c r="F77" s="165">
        <f>1560820+1335739</f>
        <v>2896559</v>
      </c>
      <c r="G77" s="165"/>
      <c r="H77" s="165"/>
      <c r="I77" s="165">
        <f>82464999+1200000+300000+1700000</f>
        <v>85664999</v>
      </c>
      <c r="J77" s="165">
        <f t="shared" si="15"/>
        <v>12104086</v>
      </c>
      <c r="K77" s="201">
        <f>10000000+2453986-349900</f>
        <v>12104086</v>
      </c>
      <c r="L77" s="165"/>
      <c r="M77" s="165"/>
      <c r="N77" s="165"/>
      <c r="O77" s="201">
        <f>12453986-349900</f>
        <v>12104086</v>
      </c>
      <c r="P77" s="201">
        <f t="shared" si="13"/>
        <v>100665644</v>
      </c>
      <c r="R77" s="746">
        <f aca="true" t="shared" si="19" ref="R77:R110">K77-O77</f>
        <v>0</v>
      </c>
      <c r="S77" s="170">
        <f t="shared" si="18"/>
        <v>0</v>
      </c>
    </row>
    <row r="78" spans="1:19" s="274" customFormat="1" ht="90" customHeight="1">
      <c r="A78" s="279" t="s">
        <v>244</v>
      </c>
      <c r="B78" s="279" t="s">
        <v>245</v>
      </c>
      <c r="C78" s="280" t="s">
        <v>242</v>
      </c>
      <c r="D78" s="197" t="s">
        <v>246</v>
      </c>
      <c r="E78" s="201">
        <f t="shared" si="17"/>
        <v>1200000</v>
      </c>
      <c r="F78" s="165"/>
      <c r="G78" s="165"/>
      <c r="H78" s="165"/>
      <c r="I78" s="165">
        <v>1200000</v>
      </c>
      <c r="J78" s="165">
        <f t="shared" si="15"/>
        <v>0</v>
      </c>
      <c r="K78" s="201"/>
      <c r="L78" s="165"/>
      <c r="M78" s="165"/>
      <c r="N78" s="165"/>
      <c r="O78" s="201"/>
      <c r="P78" s="201">
        <f t="shared" si="13"/>
        <v>1200000</v>
      </c>
      <c r="R78" s="746">
        <f t="shared" si="19"/>
        <v>0</v>
      </c>
      <c r="S78" s="170">
        <f t="shared" si="18"/>
        <v>0</v>
      </c>
    </row>
    <row r="79" spans="1:19" s="274" customFormat="1" ht="32.25" customHeight="1">
      <c r="A79" s="279" t="s">
        <v>239</v>
      </c>
      <c r="B79" s="279" t="s">
        <v>240</v>
      </c>
      <c r="C79" s="280" t="s">
        <v>242</v>
      </c>
      <c r="D79" s="197" t="s">
        <v>241</v>
      </c>
      <c r="E79" s="201">
        <f>F79+I79</f>
        <v>2500000</v>
      </c>
      <c r="F79" s="165">
        <v>500000</v>
      </c>
      <c r="G79" s="165"/>
      <c r="H79" s="165"/>
      <c r="I79" s="165">
        <f>2000000</f>
        <v>2000000</v>
      </c>
      <c r="J79" s="165">
        <f t="shared" si="15"/>
        <v>5101800</v>
      </c>
      <c r="K79" s="201">
        <v>5101800</v>
      </c>
      <c r="L79" s="165"/>
      <c r="M79" s="165"/>
      <c r="N79" s="165"/>
      <c r="O79" s="201">
        <v>5101800</v>
      </c>
      <c r="P79" s="201">
        <f t="shared" si="13"/>
        <v>7601800</v>
      </c>
      <c r="R79" s="746">
        <f t="shared" si="19"/>
        <v>0</v>
      </c>
      <c r="S79" s="170">
        <f t="shared" si="18"/>
        <v>0</v>
      </c>
    </row>
    <row r="80" spans="1:19" s="274" customFormat="1" ht="32.25" customHeight="1">
      <c r="A80" s="324" t="s">
        <v>411</v>
      </c>
      <c r="B80" s="325" t="s">
        <v>9</v>
      </c>
      <c r="C80" s="325" t="s">
        <v>281</v>
      </c>
      <c r="D80" s="326" t="s">
        <v>10</v>
      </c>
      <c r="E80" s="201">
        <f>F80+I80</f>
        <v>700000</v>
      </c>
      <c r="F80" s="165">
        <f>200000+500000</f>
        <v>700000</v>
      </c>
      <c r="G80" s="165"/>
      <c r="H80" s="165"/>
      <c r="I80" s="165"/>
      <c r="J80" s="165">
        <f t="shared" si="15"/>
        <v>0</v>
      </c>
      <c r="K80" s="201"/>
      <c r="L80" s="165"/>
      <c r="M80" s="165"/>
      <c r="N80" s="165"/>
      <c r="O80" s="201"/>
      <c r="P80" s="201">
        <f t="shared" si="13"/>
        <v>700000</v>
      </c>
      <c r="R80" s="746">
        <f t="shared" si="19"/>
        <v>0</v>
      </c>
      <c r="S80" s="170">
        <f t="shared" si="18"/>
        <v>0</v>
      </c>
    </row>
    <row r="81" spans="1:19" s="274" customFormat="1" ht="28.5" customHeight="1">
      <c r="A81" s="208" t="s">
        <v>4</v>
      </c>
      <c r="B81" s="208" t="s">
        <v>247</v>
      </c>
      <c r="C81" s="328" t="s">
        <v>221</v>
      </c>
      <c r="D81" s="173" t="s">
        <v>280</v>
      </c>
      <c r="E81" s="201">
        <f>F81+I81</f>
        <v>0</v>
      </c>
      <c r="F81" s="165"/>
      <c r="G81" s="165"/>
      <c r="H81" s="165"/>
      <c r="I81" s="165"/>
      <c r="J81" s="165">
        <f t="shared" si="15"/>
        <v>14091937</v>
      </c>
      <c r="K81" s="201">
        <f>7416491+5584322+291124+800000</f>
        <v>14091937</v>
      </c>
      <c r="L81" s="165"/>
      <c r="M81" s="165"/>
      <c r="N81" s="165"/>
      <c r="O81" s="201">
        <f>7416491+5584322+291124+800000</f>
        <v>14091937</v>
      </c>
      <c r="P81" s="201">
        <f t="shared" si="13"/>
        <v>14091937</v>
      </c>
      <c r="R81" s="746">
        <f t="shared" si="19"/>
        <v>0</v>
      </c>
      <c r="S81" s="170">
        <f t="shared" si="18"/>
        <v>0</v>
      </c>
    </row>
    <row r="82" spans="1:19" s="274" customFormat="1" ht="42.75" customHeight="1">
      <c r="A82" s="279" t="s">
        <v>305</v>
      </c>
      <c r="B82" s="280" t="s">
        <v>252</v>
      </c>
      <c r="C82" s="280" t="s">
        <v>221</v>
      </c>
      <c r="D82" s="252" t="s">
        <v>403</v>
      </c>
      <c r="E82" s="201"/>
      <c r="F82" s="165"/>
      <c r="G82" s="165"/>
      <c r="H82" s="165"/>
      <c r="I82" s="165"/>
      <c r="J82" s="165">
        <f>L82+O82</f>
        <v>2673510</v>
      </c>
      <c r="K82" s="201">
        <f>1653510+1000000+14992400+407600+20000-800000-14600000</f>
        <v>2673510</v>
      </c>
      <c r="L82" s="165"/>
      <c r="M82" s="165"/>
      <c r="N82" s="165"/>
      <c r="O82" s="201">
        <f>1653510+1000000+14992400+407600+20000-800000-14600000</f>
        <v>2673510</v>
      </c>
      <c r="P82" s="201">
        <f t="shared" si="13"/>
        <v>2673510</v>
      </c>
      <c r="R82" s="746">
        <f t="shared" si="19"/>
        <v>0</v>
      </c>
      <c r="S82" s="170">
        <f t="shared" si="18"/>
        <v>0</v>
      </c>
    </row>
    <row r="83" spans="1:19" s="274" customFormat="1" ht="36.75" customHeight="1">
      <c r="A83" s="279" t="s">
        <v>558</v>
      </c>
      <c r="B83" s="208" t="s">
        <v>220</v>
      </c>
      <c r="C83" s="208" t="s">
        <v>221</v>
      </c>
      <c r="D83" s="167" t="s">
        <v>781</v>
      </c>
      <c r="E83" s="165">
        <f>F83+I83</f>
        <v>0</v>
      </c>
      <c r="F83" s="165"/>
      <c r="G83" s="165"/>
      <c r="H83" s="165"/>
      <c r="I83" s="165"/>
      <c r="J83" s="165">
        <f>L83+O83</f>
        <v>1000000</v>
      </c>
      <c r="K83" s="165">
        <v>1000000</v>
      </c>
      <c r="L83" s="165"/>
      <c r="M83" s="165"/>
      <c r="N83" s="165"/>
      <c r="O83" s="165">
        <v>1000000</v>
      </c>
      <c r="P83" s="201">
        <f>E83+J83</f>
        <v>1000000</v>
      </c>
      <c r="R83" s="746">
        <f t="shared" si="19"/>
        <v>0</v>
      </c>
      <c r="S83" s="170">
        <f t="shared" si="18"/>
        <v>0</v>
      </c>
    </row>
    <row r="84" spans="1:19" s="274" customFormat="1" ht="34.5" customHeight="1">
      <c r="A84" s="279" t="s">
        <v>5</v>
      </c>
      <c r="B84" s="279" t="s">
        <v>6</v>
      </c>
      <c r="C84" s="172" t="s">
        <v>7</v>
      </c>
      <c r="D84" s="295" t="s">
        <v>8</v>
      </c>
      <c r="E84" s="201">
        <f t="shared" si="17"/>
        <v>23480975</v>
      </c>
      <c r="F84" s="165">
        <f>6085534+943400+900000-1000000-300000+7594841+8000000+1257200</f>
        <v>23480975</v>
      </c>
      <c r="G84" s="165"/>
      <c r="H84" s="165"/>
      <c r="I84" s="165"/>
      <c r="J84" s="165">
        <f t="shared" si="15"/>
        <v>9080951</v>
      </c>
      <c r="K84" s="201">
        <f>2988194+300000+5792757</f>
        <v>9080951</v>
      </c>
      <c r="L84" s="165"/>
      <c r="M84" s="165"/>
      <c r="N84" s="165"/>
      <c r="O84" s="201">
        <f>2988194+300000+5792757</f>
        <v>9080951</v>
      </c>
      <c r="P84" s="201">
        <f t="shared" si="13"/>
        <v>32561926</v>
      </c>
      <c r="R84" s="746">
        <f t="shared" si="19"/>
        <v>0</v>
      </c>
      <c r="S84" s="170">
        <f t="shared" si="18"/>
        <v>0</v>
      </c>
    </row>
    <row r="85" spans="1:19" s="274" customFormat="1" ht="18.75" customHeight="1">
      <c r="A85" s="279" t="s">
        <v>243</v>
      </c>
      <c r="B85" s="279" t="s">
        <v>216</v>
      </c>
      <c r="C85" s="280" t="s">
        <v>82</v>
      </c>
      <c r="D85" s="180" t="s">
        <v>170</v>
      </c>
      <c r="E85" s="201">
        <f>F85+I85</f>
        <v>0</v>
      </c>
      <c r="F85" s="201"/>
      <c r="G85" s="201"/>
      <c r="H85" s="201"/>
      <c r="I85" s="201"/>
      <c r="J85" s="165">
        <f t="shared" si="15"/>
        <v>12000000</v>
      </c>
      <c r="K85" s="201">
        <v>12000000</v>
      </c>
      <c r="L85" s="201"/>
      <c r="M85" s="201"/>
      <c r="N85" s="201"/>
      <c r="O85" s="201">
        <v>12000000</v>
      </c>
      <c r="P85" s="201">
        <f t="shared" si="13"/>
        <v>12000000</v>
      </c>
      <c r="R85" s="746">
        <f t="shared" si="19"/>
        <v>0</v>
      </c>
      <c r="S85" s="170">
        <f t="shared" si="18"/>
        <v>0</v>
      </c>
    </row>
    <row r="86" spans="1:19" s="274" customFormat="1" ht="36.75" customHeight="1">
      <c r="A86" s="382" t="s">
        <v>556</v>
      </c>
      <c r="B86" s="383" t="s">
        <v>255</v>
      </c>
      <c r="C86" s="280" t="s">
        <v>61</v>
      </c>
      <c r="D86" s="198" t="s">
        <v>257</v>
      </c>
      <c r="E86" s="165">
        <f>F86+I86</f>
        <v>0</v>
      </c>
      <c r="F86" s="165"/>
      <c r="G86" s="165"/>
      <c r="H86" s="165"/>
      <c r="I86" s="165"/>
      <c r="J86" s="165">
        <f t="shared" si="15"/>
        <v>300000</v>
      </c>
      <c r="K86" s="165">
        <v>300000</v>
      </c>
      <c r="L86" s="165"/>
      <c r="M86" s="165"/>
      <c r="N86" s="165"/>
      <c r="O86" s="165">
        <v>300000</v>
      </c>
      <c r="P86" s="201">
        <f>E86+J86</f>
        <v>300000</v>
      </c>
      <c r="R86" s="746">
        <f t="shared" si="19"/>
        <v>0</v>
      </c>
      <c r="S86" s="170">
        <f t="shared" si="18"/>
        <v>0</v>
      </c>
    </row>
    <row r="87" spans="1:19" s="274" customFormat="1" ht="32.25" customHeight="1">
      <c r="A87" s="279" t="s">
        <v>224</v>
      </c>
      <c r="B87" s="279" t="s">
        <v>225</v>
      </c>
      <c r="C87" s="280" t="s">
        <v>61</v>
      </c>
      <c r="D87" s="179" t="s">
        <v>226</v>
      </c>
      <c r="E87" s="201">
        <f t="shared" si="17"/>
        <v>1600000</v>
      </c>
      <c r="F87" s="201"/>
      <c r="G87" s="201"/>
      <c r="H87" s="201"/>
      <c r="I87" s="201">
        <f>1600000</f>
        <v>1600000</v>
      </c>
      <c r="J87" s="165">
        <f t="shared" si="15"/>
        <v>0</v>
      </c>
      <c r="K87" s="201"/>
      <c r="L87" s="201"/>
      <c r="M87" s="201"/>
      <c r="N87" s="201"/>
      <c r="O87" s="201"/>
      <c r="P87" s="201">
        <f t="shared" si="13"/>
        <v>1600000</v>
      </c>
      <c r="R87" s="746">
        <f t="shared" si="19"/>
        <v>0</v>
      </c>
      <c r="S87" s="170">
        <f t="shared" si="18"/>
        <v>0</v>
      </c>
    </row>
    <row r="88" spans="1:19" s="274" customFormat="1" ht="18" customHeight="1">
      <c r="A88" s="382" t="s">
        <v>552</v>
      </c>
      <c r="B88" s="171">
        <v>8311</v>
      </c>
      <c r="C88" s="382" t="s">
        <v>385</v>
      </c>
      <c r="D88" s="173" t="s">
        <v>386</v>
      </c>
      <c r="E88" s="165">
        <f t="shared" si="17"/>
        <v>0</v>
      </c>
      <c r="F88" s="165"/>
      <c r="G88" s="165"/>
      <c r="H88" s="165"/>
      <c r="I88" s="165"/>
      <c r="J88" s="165">
        <f t="shared" si="15"/>
        <v>200000</v>
      </c>
      <c r="K88" s="165"/>
      <c r="L88" s="165">
        <v>200000</v>
      </c>
      <c r="M88" s="165"/>
      <c r="N88" s="165"/>
      <c r="O88" s="165"/>
      <c r="P88" s="201">
        <f t="shared" si="13"/>
        <v>200000</v>
      </c>
      <c r="R88" s="746">
        <f t="shared" si="19"/>
        <v>0</v>
      </c>
      <c r="S88" s="170">
        <f t="shared" si="18"/>
        <v>0</v>
      </c>
    </row>
    <row r="89" spans="1:19" s="274" customFormat="1" ht="27" customHeight="1">
      <c r="A89" s="279" t="s">
        <v>228</v>
      </c>
      <c r="B89" s="279" t="s">
        <v>227</v>
      </c>
      <c r="C89" s="280" t="s">
        <v>229</v>
      </c>
      <c r="D89" s="197" t="s">
        <v>230</v>
      </c>
      <c r="E89" s="201">
        <f t="shared" si="17"/>
        <v>0</v>
      </c>
      <c r="F89" s="201"/>
      <c r="G89" s="201"/>
      <c r="H89" s="201"/>
      <c r="I89" s="201"/>
      <c r="J89" s="165">
        <f t="shared" si="15"/>
        <v>160600</v>
      </c>
      <c r="K89" s="201"/>
      <c r="L89" s="201"/>
      <c r="M89" s="201"/>
      <c r="N89" s="201"/>
      <c r="O89" s="201">
        <v>160600</v>
      </c>
      <c r="P89" s="201">
        <f t="shared" si="13"/>
        <v>160600</v>
      </c>
      <c r="R89" s="746">
        <f t="shared" si="19"/>
        <v>-160600</v>
      </c>
      <c r="S89" s="170">
        <f t="shared" si="18"/>
        <v>160600</v>
      </c>
    </row>
    <row r="90" spans="1:19" s="274" customFormat="1" ht="94.5">
      <c r="A90" s="382" t="s">
        <v>557</v>
      </c>
      <c r="B90" s="382" t="s">
        <v>14</v>
      </c>
      <c r="C90" s="383" t="s">
        <v>61</v>
      </c>
      <c r="D90" s="98" t="s">
        <v>274</v>
      </c>
      <c r="E90" s="165"/>
      <c r="F90" s="165"/>
      <c r="G90" s="165"/>
      <c r="H90" s="165"/>
      <c r="I90" s="165"/>
      <c r="J90" s="165">
        <f t="shared" si="15"/>
        <v>60000</v>
      </c>
      <c r="K90" s="165"/>
      <c r="L90" s="165"/>
      <c r="M90" s="165"/>
      <c r="N90" s="165"/>
      <c r="O90" s="165">
        <v>60000</v>
      </c>
      <c r="P90" s="201">
        <f>E90+J90</f>
        <v>60000</v>
      </c>
      <c r="R90" s="746">
        <f t="shared" si="19"/>
        <v>-60000</v>
      </c>
      <c r="S90" s="170">
        <f t="shared" si="18"/>
        <v>60000</v>
      </c>
    </row>
    <row r="91" spans="1:19" s="273" customFormat="1" ht="31.5">
      <c r="A91" s="203" t="s">
        <v>42</v>
      </c>
      <c r="B91" s="203" t="s">
        <v>77</v>
      </c>
      <c r="C91" s="204"/>
      <c r="D91" s="202" t="s">
        <v>550</v>
      </c>
      <c r="E91" s="206">
        <f t="shared" si="17"/>
        <v>1751214</v>
      </c>
      <c r="F91" s="206">
        <f aca="true" t="shared" si="20" ref="F91:O91">F92</f>
        <v>1751214</v>
      </c>
      <c r="G91" s="206">
        <f t="shared" si="20"/>
        <v>1436561</v>
      </c>
      <c r="H91" s="206">
        <f t="shared" si="20"/>
        <v>26700</v>
      </c>
      <c r="I91" s="206">
        <f t="shared" si="20"/>
        <v>0</v>
      </c>
      <c r="J91" s="206">
        <f t="shared" si="20"/>
        <v>80660343</v>
      </c>
      <c r="K91" s="206">
        <f t="shared" si="20"/>
        <v>79544113</v>
      </c>
      <c r="L91" s="206">
        <f t="shared" si="20"/>
        <v>1116230</v>
      </c>
      <c r="M91" s="206">
        <f t="shared" si="20"/>
        <v>591540</v>
      </c>
      <c r="N91" s="206">
        <f t="shared" si="20"/>
        <v>1000</v>
      </c>
      <c r="O91" s="206">
        <f t="shared" si="20"/>
        <v>79544113</v>
      </c>
      <c r="P91" s="206">
        <f t="shared" si="13"/>
        <v>82411557</v>
      </c>
      <c r="R91" s="746">
        <f t="shared" si="19"/>
        <v>0</v>
      </c>
      <c r="S91" s="170">
        <f t="shared" si="18"/>
        <v>0</v>
      </c>
    </row>
    <row r="92" spans="1:19" s="273" customFormat="1" ht="31.5">
      <c r="A92" s="203" t="s">
        <v>49</v>
      </c>
      <c r="B92" s="203"/>
      <c r="C92" s="204"/>
      <c r="D92" s="202" t="s">
        <v>551</v>
      </c>
      <c r="E92" s="206">
        <f aca="true" t="shared" si="21" ref="E92:O92">SUM(E93:E100)</f>
        <v>1751214</v>
      </c>
      <c r="F92" s="206">
        <f t="shared" si="21"/>
        <v>1751214</v>
      </c>
      <c r="G92" s="206">
        <f t="shared" si="21"/>
        <v>1436561</v>
      </c>
      <c r="H92" s="206">
        <f t="shared" si="21"/>
        <v>26700</v>
      </c>
      <c r="I92" s="206">
        <f t="shared" si="21"/>
        <v>0</v>
      </c>
      <c r="J92" s="206">
        <f t="shared" si="21"/>
        <v>80660343</v>
      </c>
      <c r="K92" s="206">
        <f t="shared" si="21"/>
        <v>79544113</v>
      </c>
      <c r="L92" s="206">
        <f t="shared" si="21"/>
        <v>1116230</v>
      </c>
      <c r="M92" s="206">
        <f t="shared" si="21"/>
        <v>591540</v>
      </c>
      <c r="N92" s="206">
        <f t="shared" si="21"/>
        <v>1000</v>
      </c>
      <c r="O92" s="206">
        <f t="shared" si="21"/>
        <v>79544113</v>
      </c>
      <c r="P92" s="206">
        <f t="shared" si="13"/>
        <v>82411557</v>
      </c>
      <c r="R92" s="746">
        <f t="shared" si="19"/>
        <v>0</v>
      </c>
      <c r="S92" s="170">
        <f t="shared" si="18"/>
        <v>0</v>
      </c>
    </row>
    <row r="93" spans="1:19" s="274" customFormat="1" ht="47.25">
      <c r="A93" s="279" t="s">
        <v>179</v>
      </c>
      <c r="B93" s="279" t="s">
        <v>176</v>
      </c>
      <c r="C93" s="280" t="s">
        <v>47</v>
      </c>
      <c r="D93" s="295" t="s">
        <v>770</v>
      </c>
      <c r="E93" s="165">
        <f t="shared" si="17"/>
        <v>1751214</v>
      </c>
      <c r="F93" s="165">
        <v>1751214</v>
      </c>
      <c r="G93" s="165">
        <v>1436561</v>
      </c>
      <c r="H93" s="165">
        <f>1700+16000+9000</f>
        <v>26700</v>
      </c>
      <c r="I93" s="165"/>
      <c r="J93" s="201">
        <f aca="true" t="shared" si="22" ref="J93:J99">L93+O93</f>
        <v>1116230</v>
      </c>
      <c r="K93" s="201"/>
      <c r="L93" s="165">
        <v>1116230</v>
      </c>
      <c r="M93" s="165">
        <v>591540</v>
      </c>
      <c r="N93" s="201">
        <v>1000</v>
      </c>
      <c r="O93" s="201"/>
      <c r="P93" s="201">
        <f>E93+J93</f>
        <v>2867444</v>
      </c>
      <c r="R93" s="746">
        <f t="shared" si="19"/>
        <v>0</v>
      </c>
      <c r="S93" s="170">
        <f t="shared" si="18"/>
        <v>0</v>
      </c>
    </row>
    <row r="94" spans="1:19" s="274" customFormat="1" ht="15.75">
      <c r="A94" s="382" t="s">
        <v>549</v>
      </c>
      <c r="B94" s="382" t="s">
        <v>80</v>
      </c>
      <c r="C94" s="280" t="s">
        <v>60</v>
      </c>
      <c r="D94" s="197" t="s">
        <v>223</v>
      </c>
      <c r="E94" s="165">
        <f>F94+I94</f>
        <v>0</v>
      </c>
      <c r="F94" s="165"/>
      <c r="G94" s="165"/>
      <c r="H94" s="165"/>
      <c r="I94" s="165"/>
      <c r="J94" s="201">
        <f>L94+O94</f>
        <v>548900</v>
      </c>
      <c r="K94" s="201">
        <v>548900</v>
      </c>
      <c r="L94" s="165"/>
      <c r="M94" s="165"/>
      <c r="N94" s="201"/>
      <c r="O94" s="201">
        <v>548900</v>
      </c>
      <c r="P94" s="201">
        <f>E94+J94</f>
        <v>548900</v>
      </c>
      <c r="R94" s="746">
        <f t="shared" si="19"/>
        <v>0</v>
      </c>
      <c r="S94" s="170">
        <f t="shared" si="18"/>
        <v>0</v>
      </c>
    </row>
    <row r="95" spans="1:19" s="274" customFormat="1" ht="15.75">
      <c r="A95" s="577" t="s">
        <v>568</v>
      </c>
      <c r="B95" s="577" t="s">
        <v>247</v>
      </c>
      <c r="C95" s="328" t="s">
        <v>221</v>
      </c>
      <c r="D95" s="173" t="s">
        <v>280</v>
      </c>
      <c r="E95" s="165">
        <f aca="true" t="shared" si="23" ref="E95:E100">F95+I95</f>
        <v>0</v>
      </c>
      <c r="F95" s="165"/>
      <c r="G95" s="165"/>
      <c r="H95" s="165"/>
      <c r="I95" s="165"/>
      <c r="J95" s="201">
        <f>L95+O95</f>
        <v>766703</v>
      </c>
      <c r="K95" s="201">
        <v>766703</v>
      </c>
      <c r="L95" s="165"/>
      <c r="M95" s="165"/>
      <c r="N95" s="201"/>
      <c r="O95" s="201">
        <v>766703</v>
      </c>
      <c r="P95" s="201">
        <f>E95+J95</f>
        <v>766703</v>
      </c>
      <c r="R95" s="746">
        <f t="shared" si="19"/>
        <v>0</v>
      </c>
      <c r="S95" s="170"/>
    </row>
    <row r="96" spans="1:19" s="81" customFormat="1" ht="15.75">
      <c r="A96" s="279" t="s">
        <v>248</v>
      </c>
      <c r="B96" s="279" t="s">
        <v>264</v>
      </c>
      <c r="C96" s="280" t="s">
        <v>221</v>
      </c>
      <c r="D96" s="295" t="s">
        <v>254</v>
      </c>
      <c r="E96" s="165">
        <f t="shared" si="23"/>
        <v>0</v>
      </c>
      <c r="F96" s="201"/>
      <c r="G96" s="201"/>
      <c r="H96" s="201"/>
      <c r="I96" s="201"/>
      <c r="J96" s="201">
        <f t="shared" si="22"/>
        <v>35582756</v>
      </c>
      <c r="K96" s="165">
        <v>35582756</v>
      </c>
      <c r="L96" s="201"/>
      <c r="M96" s="201"/>
      <c r="N96" s="201"/>
      <c r="O96" s="165">
        <f>34987956+594800</f>
        <v>35582756</v>
      </c>
      <c r="P96" s="201">
        <f t="shared" si="13"/>
        <v>35582756</v>
      </c>
      <c r="R96" s="746">
        <f t="shared" si="19"/>
        <v>0</v>
      </c>
      <c r="S96" s="170">
        <f t="shared" si="18"/>
        <v>0</v>
      </c>
    </row>
    <row r="97" spans="1:19" s="81" customFormat="1" ht="15.75">
      <c r="A97" s="279" t="s">
        <v>249</v>
      </c>
      <c r="B97" s="279" t="s">
        <v>265</v>
      </c>
      <c r="C97" s="280" t="s">
        <v>221</v>
      </c>
      <c r="D97" s="295" t="s">
        <v>266</v>
      </c>
      <c r="E97" s="165">
        <f t="shared" si="23"/>
        <v>0</v>
      </c>
      <c r="F97" s="201"/>
      <c r="G97" s="201"/>
      <c r="H97" s="201"/>
      <c r="I97" s="201"/>
      <c r="J97" s="201">
        <f t="shared" si="22"/>
        <v>8634794</v>
      </c>
      <c r="K97" s="165">
        <v>8634794</v>
      </c>
      <c r="L97" s="201"/>
      <c r="M97" s="201"/>
      <c r="N97" s="201"/>
      <c r="O97" s="165">
        <v>8634794</v>
      </c>
      <c r="P97" s="201">
        <f t="shared" si="13"/>
        <v>8634794</v>
      </c>
      <c r="R97" s="746">
        <f t="shared" si="19"/>
        <v>0</v>
      </c>
      <c r="S97" s="170">
        <f t="shared" si="18"/>
        <v>0</v>
      </c>
    </row>
    <row r="98" spans="1:19" s="81" customFormat="1" ht="15.75">
      <c r="A98" s="279" t="s">
        <v>251</v>
      </c>
      <c r="B98" s="279" t="s">
        <v>250</v>
      </c>
      <c r="C98" s="280" t="s">
        <v>221</v>
      </c>
      <c r="D98" s="176" t="s">
        <v>0</v>
      </c>
      <c r="E98" s="165">
        <f t="shared" si="23"/>
        <v>0</v>
      </c>
      <c r="F98" s="201"/>
      <c r="G98" s="201"/>
      <c r="H98" s="201"/>
      <c r="I98" s="201"/>
      <c r="J98" s="201">
        <f t="shared" si="22"/>
        <v>2600000</v>
      </c>
      <c r="K98" s="165">
        <v>2600000</v>
      </c>
      <c r="L98" s="201"/>
      <c r="M98" s="201"/>
      <c r="N98" s="201"/>
      <c r="O98" s="165">
        <v>2600000</v>
      </c>
      <c r="P98" s="201">
        <f t="shared" si="13"/>
        <v>2600000</v>
      </c>
      <c r="R98" s="746">
        <f t="shared" si="19"/>
        <v>0</v>
      </c>
      <c r="S98" s="170">
        <f t="shared" si="18"/>
        <v>0</v>
      </c>
    </row>
    <row r="99" spans="1:19" s="81" customFormat="1" ht="15.75">
      <c r="A99" s="279" t="s">
        <v>2</v>
      </c>
      <c r="B99" s="279" t="s">
        <v>3</v>
      </c>
      <c r="C99" s="280" t="s">
        <v>221</v>
      </c>
      <c r="D99" s="176" t="s">
        <v>1</v>
      </c>
      <c r="E99" s="165">
        <f t="shared" si="23"/>
        <v>0</v>
      </c>
      <c r="F99" s="201"/>
      <c r="G99" s="201"/>
      <c r="H99" s="201"/>
      <c r="I99" s="201"/>
      <c r="J99" s="201">
        <f t="shared" si="22"/>
        <v>9500000</v>
      </c>
      <c r="K99" s="201">
        <v>9500000</v>
      </c>
      <c r="L99" s="201"/>
      <c r="M99" s="201"/>
      <c r="N99" s="201"/>
      <c r="O99" s="201">
        <v>9500000</v>
      </c>
      <c r="P99" s="201">
        <f t="shared" si="13"/>
        <v>9500000</v>
      </c>
      <c r="R99" s="746">
        <f t="shared" si="19"/>
        <v>0</v>
      </c>
      <c r="S99" s="170">
        <f t="shared" si="18"/>
        <v>0</v>
      </c>
    </row>
    <row r="100" spans="1:19" ht="24.75" customHeight="1">
      <c r="A100" s="578" t="s">
        <v>253</v>
      </c>
      <c r="B100" s="280" t="s">
        <v>252</v>
      </c>
      <c r="C100" s="280" t="s">
        <v>221</v>
      </c>
      <c r="D100" s="401" t="s">
        <v>548</v>
      </c>
      <c r="E100" s="165">
        <f t="shared" si="23"/>
        <v>0</v>
      </c>
      <c r="F100" s="201"/>
      <c r="G100" s="201"/>
      <c r="H100" s="201"/>
      <c r="I100" s="201"/>
      <c r="J100" s="201">
        <f>L100+O100</f>
        <v>21910960</v>
      </c>
      <c r="K100" s="201">
        <v>21910960</v>
      </c>
      <c r="L100" s="201"/>
      <c r="M100" s="201"/>
      <c r="N100" s="201"/>
      <c r="O100" s="201">
        <v>21910960</v>
      </c>
      <c r="P100" s="201">
        <f>E100+J100</f>
        <v>21910960</v>
      </c>
      <c r="R100" s="746">
        <f t="shared" si="19"/>
        <v>0</v>
      </c>
      <c r="S100" s="170">
        <f>O100-K100</f>
        <v>0</v>
      </c>
    </row>
    <row r="101" spans="1:19" s="273" customFormat="1" ht="34.5" customHeight="1">
      <c r="A101" s="203" t="s">
        <v>218</v>
      </c>
      <c r="B101" s="203" t="s">
        <v>217</v>
      </c>
      <c r="C101" s="204"/>
      <c r="D101" s="205" t="s">
        <v>345</v>
      </c>
      <c r="E101" s="206">
        <f>E102</f>
        <v>567934</v>
      </c>
      <c r="F101" s="206">
        <f aca="true" t="shared" si="24" ref="F101:O102">F102</f>
        <v>567934</v>
      </c>
      <c r="G101" s="206">
        <f t="shared" si="24"/>
        <v>465520</v>
      </c>
      <c r="H101" s="206">
        <f t="shared" si="24"/>
        <v>0</v>
      </c>
      <c r="I101" s="206">
        <f t="shared" si="24"/>
        <v>0</v>
      </c>
      <c r="J101" s="206">
        <f t="shared" si="24"/>
        <v>0</v>
      </c>
      <c r="K101" s="206">
        <f t="shared" si="24"/>
        <v>0</v>
      </c>
      <c r="L101" s="206">
        <f t="shared" si="24"/>
        <v>0</v>
      </c>
      <c r="M101" s="206">
        <f t="shared" si="24"/>
        <v>0</v>
      </c>
      <c r="N101" s="206">
        <f t="shared" si="24"/>
        <v>0</v>
      </c>
      <c r="O101" s="206">
        <f t="shared" si="24"/>
        <v>0</v>
      </c>
      <c r="P101" s="206">
        <f t="shared" si="13"/>
        <v>567934</v>
      </c>
      <c r="R101" s="746">
        <f t="shared" si="19"/>
        <v>0</v>
      </c>
      <c r="S101" s="170">
        <f t="shared" si="18"/>
        <v>0</v>
      </c>
    </row>
    <row r="102" spans="1:19" s="273" customFormat="1" ht="31.5" outlineLevel="1">
      <c r="A102" s="203" t="s">
        <v>219</v>
      </c>
      <c r="B102" s="203"/>
      <c r="C102" s="204"/>
      <c r="D102" s="205" t="s">
        <v>346</v>
      </c>
      <c r="E102" s="206">
        <f>F102+I102</f>
        <v>567934</v>
      </c>
      <c r="F102" s="206">
        <f>F103</f>
        <v>567934</v>
      </c>
      <c r="G102" s="206">
        <f t="shared" si="24"/>
        <v>465520</v>
      </c>
      <c r="H102" s="206">
        <f t="shared" si="24"/>
        <v>0</v>
      </c>
      <c r="I102" s="206">
        <f t="shared" si="24"/>
        <v>0</v>
      </c>
      <c r="J102" s="206">
        <f aca="true" t="shared" si="25" ref="J102:O102">SUM(J103:J109)</f>
        <v>0</v>
      </c>
      <c r="K102" s="206">
        <f t="shared" si="25"/>
        <v>0</v>
      </c>
      <c r="L102" s="206">
        <f t="shared" si="25"/>
        <v>0</v>
      </c>
      <c r="M102" s="206">
        <f t="shared" si="25"/>
        <v>0</v>
      </c>
      <c r="N102" s="206">
        <f t="shared" si="25"/>
        <v>0</v>
      </c>
      <c r="O102" s="206">
        <f t="shared" si="25"/>
        <v>0</v>
      </c>
      <c r="P102" s="206">
        <f t="shared" si="13"/>
        <v>567934</v>
      </c>
      <c r="R102" s="746">
        <f t="shared" si="19"/>
        <v>0</v>
      </c>
      <c r="S102" s="170">
        <f t="shared" si="18"/>
        <v>0</v>
      </c>
    </row>
    <row r="103" spans="1:19" s="274" customFormat="1" ht="59.25" customHeight="1">
      <c r="A103" s="560" t="s">
        <v>565</v>
      </c>
      <c r="B103" s="560" t="s">
        <v>176</v>
      </c>
      <c r="C103" s="280" t="s">
        <v>47</v>
      </c>
      <c r="D103" s="295" t="s">
        <v>770</v>
      </c>
      <c r="E103" s="165">
        <f>F103+I103</f>
        <v>567934</v>
      </c>
      <c r="F103" s="165">
        <f>465520+102414</f>
        <v>567934</v>
      </c>
      <c r="G103" s="165">
        <v>465520</v>
      </c>
      <c r="H103" s="165"/>
      <c r="I103" s="165"/>
      <c r="J103" s="165">
        <f>L103+O103</f>
        <v>0</v>
      </c>
      <c r="K103" s="165"/>
      <c r="L103" s="165"/>
      <c r="M103" s="165"/>
      <c r="N103" s="165"/>
      <c r="O103" s="165"/>
      <c r="P103" s="201">
        <f>E103+J103</f>
        <v>567934</v>
      </c>
      <c r="R103" s="746">
        <f t="shared" si="19"/>
        <v>0</v>
      </c>
      <c r="S103" s="170">
        <f t="shared" si="18"/>
        <v>0</v>
      </c>
    </row>
    <row r="104" spans="1:19" s="273" customFormat="1" ht="31.5">
      <c r="A104" s="203" t="s">
        <v>180</v>
      </c>
      <c r="B104" s="203" t="s">
        <v>181</v>
      </c>
      <c r="C104" s="216"/>
      <c r="D104" s="192" t="s">
        <v>347</v>
      </c>
      <c r="E104" s="206">
        <f>E105</f>
        <v>43314234</v>
      </c>
      <c r="F104" s="206">
        <f aca="true" t="shared" si="26" ref="F104:O104">F105</f>
        <v>32989001</v>
      </c>
      <c r="G104" s="206">
        <f t="shared" si="26"/>
        <v>3411000</v>
      </c>
      <c r="H104" s="206">
        <f t="shared" si="26"/>
        <v>68000</v>
      </c>
      <c r="I104" s="206">
        <f t="shared" si="26"/>
        <v>10325233</v>
      </c>
      <c r="J104" s="206">
        <f t="shared" si="26"/>
        <v>0</v>
      </c>
      <c r="K104" s="206">
        <f t="shared" si="26"/>
        <v>0</v>
      </c>
      <c r="L104" s="206">
        <f t="shared" si="26"/>
        <v>0</v>
      </c>
      <c r="M104" s="206">
        <f t="shared" si="26"/>
        <v>0</v>
      </c>
      <c r="N104" s="206">
        <f t="shared" si="26"/>
        <v>0</v>
      </c>
      <c r="O104" s="206">
        <f t="shared" si="26"/>
        <v>0</v>
      </c>
      <c r="P104" s="206">
        <f aca="true" t="shared" si="27" ref="P104:P109">E104+J104</f>
        <v>43314234</v>
      </c>
      <c r="R104" s="746">
        <f t="shared" si="19"/>
        <v>0</v>
      </c>
      <c r="S104" s="170">
        <f>160600+415500</f>
        <v>576100</v>
      </c>
    </row>
    <row r="105" spans="1:19" s="273" customFormat="1" ht="31.5">
      <c r="A105" s="203" t="s">
        <v>182</v>
      </c>
      <c r="B105" s="203"/>
      <c r="C105" s="216"/>
      <c r="D105" s="192" t="s">
        <v>348</v>
      </c>
      <c r="E105" s="206">
        <f>SUM(E106:E109)</f>
        <v>43314234</v>
      </c>
      <c r="F105" s="206">
        <f aca="true" t="shared" si="28" ref="F105:P105">SUM(F106:F109)</f>
        <v>32989001</v>
      </c>
      <c r="G105" s="206">
        <f t="shared" si="28"/>
        <v>3411000</v>
      </c>
      <c r="H105" s="206">
        <f t="shared" si="28"/>
        <v>68000</v>
      </c>
      <c r="I105" s="206">
        <f t="shared" si="28"/>
        <v>10325233</v>
      </c>
      <c r="J105" s="206">
        <f t="shared" si="28"/>
        <v>0</v>
      </c>
      <c r="K105" s="206">
        <f t="shared" si="28"/>
        <v>0</v>
      </c>
      <c r="L105" s="206">
        <f t="shared" si="28"/>
        <v>0</v>
      </c>
      <c r="M105" s="206">
        <f t="shared" si="28"/>
        <v>0</v>
      </c>
      <c r="N105" s="206">
        <f t="shared" si="28"/>
        <v>0</v>
      </c>
      <c r="O105" s="206">
        <f t="shared" si="28"/>
        <v>0</v>
      </c>
      <c r="P105" s="206">
        <f t="shared" si="28"/>
        <v>43314234</v>
      </c>
      <c r="R105" s="746">
        <f t="shared" si="19"/>
        <v>0</v>
      </c>
      <c r="S105" s="170">
        <f>S110-S106</f>
        <v>576100</v>
      </c>
    </row>
    <row r="106" spans="1:19" s="274" customFormat="1" ht="47.25">
      <c r="A106" s="279" t="s">
        <v>183</v>
      </c>
      <c r="B106" s="279" t="s">
        <v>176</v>
      </c>
      <c r="C106" s="280" t="s">
        <v>47</v>
      </c>
      <c r="D106" s="260" t="s">
        <v>770</v>
      </c>
      <c r="E106" s="165">
        <f>F106+I106</f>
        <v>4474001</v>
      </c>
      <c r="F106" s="165">
        <f>4194000+280000+1</f>
        <v>4474001</v>
      </c>
      <c r="G106" s="165">
        <f>3183000+228000</f>
        <v>3411000</v>
      </c>
      <c r="H106" s="165">
        <v>68000</v>
      </c>
      <c r="I106" s="165"/>
      <c r="J106" s="201">
        <f>L106+O106</f>
        <v>0</v>
      </c>
      <c r="K106" s="201"/>
      <c r="L106" s="201"/>
      <c r="M106" s="201"/>
      <c r="N106" s="201"/>
      <c r="O106" s="201"/>
      <c r="P106" s="201">
        <f t="shared" si="27"/>
        <v>4474001</v>
      </c>
      <c r="R106" s="746">
        <f t="shared" si="19"/>
        <v>0</v>
      </c>
      <c r="S106" s="170">
        <f>925000+17500</f>
        <v>942500</v>
      </c>
    </row>
    <row r="107" spans="1:19" s="274" customFormat="1" ht="15.75">
      <c r="A107" s="276" t="s">
        <v>440</v>
      </c>
      <c r="B107" s="276" t="s">
        <v>441</v>
      </c>
      <c r="C107" s="277" t="s">
        <v>442</v>
      </c>
      <c r="D107" s="278" t="s">
        <v>566</v>
      </c>
      <c r="E107" s="165">
        <f>F107+I107</f>
        <v>10325233</v>
      </c>
      <c r="F107" s="165"/>
      <c r="G107" s="165"/>
      <c r="H107" s="165"/>
      <c r="I107" s="165">
        <v>10325233</v>
      </c>
      <c r="J107" s="201">
        <f>L107+O107</f>
        <v>0</v>
      </c>
      <c r="K107" s="201"/>
      <c r="L107" s="201"/>
      <c r="M107" s="201"/>
      <c r="N107" s="201"/>
      <c r="O107" s="201"/>
      <c r="P107" s="201">
        <f t="shared" si="27"/>
        <v>10325233</v>
      </c>
      <c r="R107" s="746">
        <f t="shared" si="19"/>
        <v>0</v>
      </c>
      <c r="S107" s="170">
        <f t="shared" si="18"/>
        <v>0</v>
      </c>
    </row>
    <row r="108" spans="1:19" s="274" customFormat="1" ht="15.75">
      <c r="A108" s="279" t="s">
        <v>569</v>
      </c>
      <c r="B108" s="279" t="s">
        <v>583</v>
      </c>
      <c r="C108" s="182" t="s">
        <v>55</v>
      </c>
      <c r="D108" s="562" t="s">
        <v>570</v>
      </c>
      <c r="E108" s="165">
        <f>F108+I108</f>
        <v>100000</v>
      </c>
      <c r="F108" s="165">
        <v>100000</v>
      </c>
      <c r="G108" s="189"/>
      <c r="H108" s="189"/>
      <c r="I108" s="189"/>
      <c r="J108" s="201"/>
      <c r="K108" s="201">
        <v>0</v>
      </c>
      <c r="L108" s="201"/>
      <c r="M108" s="201"/>
      <c r="N108" s="201"/>
      <c r="O108" s="201"/>
      <c r="P108" s="201">
        <f t="shared" si="27"/>
        <v>100000</v>
      </c>
      <c r="R108" s="746">
        <f t="shared" si="19"/>
        <v>0</v>
      </c>
      <c r="S108" s="170">
        <f t="shared" si="18"/>
        <v>0</v>
      </c>
    </row>
    <row r="109" spans="1:19" s="274" customFormat="1" ht="15.75">
      <c r="A109" s="279" t="s">
        <v>258</v>
      </c>
      <c r="B109" s="279" t="s">
        <v>184</v>
      </c>
      <c r="C109" s="182" t="s">
        <v>64</v>
      </c>
      <c r="D109" s="562" t="s">
        <v>65</v>
      </c>
      <c r="E109" s="165">
        <f>F109+I109</f>
        <v>28415000</v>
      </c>
      <c r="F109" s="201">
        <v>28415000</v>
      </c>
      <c r="G109" s="218"/>
      <c r="H109" s="218"/>
      <c r="I109" s="218"/>
      <c r="J109" s="201">
        <f>L109+O109</f>
        <v>0</v>
      </c>
      <c r="K109" s="218"/>
      <c r="L109" s="218"/>
      <c r="M109" s="218"/>
      <c r="N109" s="218"/>
      <c r="O109" s="218"/>
      <c r="P109" s="201">
        <f t="shared" si="27"/>
        <v>28415000</v>
      </c>
      <c r="R109" s="746">
        <f t="shared" si="19"/>
        <v>0</v>
      </c>
      <c r="S109" s="170">
        <f t="shared" si="18"/>
        <v>0</v>
      </c>
    </row>
    <row r="110" spans="1:19" s="273" customFormat="1" ht="15.75">
      <c r="A110" s="220"/>
      <c r="B110" s="220"/>
      <c r="C110" s="220"/>
      <c r="D110" s="575" t="s">
        <v>66</v>
      </c>
      <c r="E110" s="221">
        <f>E12+E28+E50+E61+E71+E91+E104+E101</f>
        <v>917767780</v>
      </c>
      <c r="F110" s="221">
        <f>F12+F28+F50+F61+F71+F91+F104+F101</f>
        <v>813857548</v>
      </c>
      <c r="G110" s="221">
        <f>G12+G28+G50+G61+G71+G91+G104+G101</f>
        <v>497243323</v>
      </c>
      <c r="H110" s="221">
        <f>H12+H28+H50+H61+H71+H91+H104+H101</f>
        <v>27627639</v>
      </c>
      <c r="I110" s="221">
        <f>I12+I28+I50+I61+I71+I91+I104+I101</f>
        <v>103910232</v>
      </c>
      <c r="J110" s="221">
        <f>J12+J28+J50+J61+J71+J91+J104+J101</f>
        <v>196423551</v>
      </c>
      <c r="K110" s="221">
        <f>K12+K28+K50+K61+K71+K91+K104+K101</f>
        <v>153074307</v>
      </c>
      <c r="L110" s="221">
        <f>L12+L28+L50+L61+L71+L91+L104+L101</f>
        <v>41830644</v>
      </c>
      <c r="M110" s="221">
        <f>M12+M28+M50+M61+M71+M91+M104+M101</f>
        <v>7765265</v>
      </c>
      <c r="N110" s="221">
        <f>N12+N28+N50+N61+N71+N91+N104+N101</f>
        <v>1535820</v>
      </c>
      <c r="O110" s="221">
        <f>O12+O28+O50+O61+O71+O91+O104+O101</f>
        <v>154592907</v>
      </c>
      <c r="P110" s="221">
        <f>P12+P28+P50+P61+P71+P91+P104+P101</f>
        <v>1114191331</v>
      </c>
      <c r="R110" s="746">
        <f t="shared" si="19"/>
        <v>-1518600</v>
      </c>
      <c r="S110" s="170">
        <f t="shared" si="18"/>
        <v>1518600</v>
      </c>
    </row>
    <row r="111" spans="1:19" ht="35.25" customHeight="1">
      <c r="A111" s="103"/>
      <c r="B111" s="103"/>
      <c r="C111" s="213"/>
      <c r="D111" s="355"/>
      <c r="E111" s="356"/>
      <c r="F111" s="357"/>
      <c r="G111" s="357"/>
      <c r="H111" s="358"/>
      <c r="I111" s="357"/>
      <c r="J111" s="359"/>
      <c r="K111" s="358"/>
      <c r="L111" s="358"/>
      <c r="M111" s="358"/>
      <c r="N111" s="357"/>
      <c r="O111" s="357"/>
      <c r="P111" s="357"/>
      <c r="S111" s="170">
        <f t="shared" si="18"/>
        <v>0</v>
      </c>
    </row>
    <row r="112" spans="4:19" ht="35.25" customHeight="1">
      <c r="D112" s="6" t="s">
        <v>43</v>
      </c>
      <c r="I112" s="170"/>
      <c r="J112" s="372"/>
      <c r="K112" s="170" t="s">
        <v>419</v>
      </c>
      <c r="L112" s="170"/>
      <c r="N112" s="170"/>
      <c r="P112" s="170"/>
      <c r="S112" s="170" t="e">
        <f>O112-K112</f>
        <v>#VALUE!</v>
      </c>
    </row>
    <row r="113" spans="4:16" ht="35.25" customHeight="1">
      <c r="D113" s="360"/>
      <c r="E113" s="356"/>
      <c r="F113" s="357"/>
      <c r="G113" s="357"/>
      <c r="H113" s="358"/>
      <c r="I113" s="357"/>
      <c r="J113" s="361"/>
      <c r="K113" s="358"/>
      <c r="L113" s="357"/>
      <c r="M113" s="357"/>
      <c r="N113" s="357"/>
      <c r="O113" s="357"/>
      <c r="P113" s="358"/>
    </row>
    <row r="114" spans="4:16" ht="15.75">
      <c r="D114" s="360"/>
      <c r="E114" s="356"/>
      <c r="F114" s="357"/>
      <c r="G114" s="357"/>
      <c r="H114" s="357"/>
      <c r="I114" s="357"/>
      <c r="J114" s="361"/>
      <c r="K114" s="357"/>
      <c r="L114" s="357"/>
      <c r="M114" s="357"/>
      <c r="N114" s="357"/>
      <c r="O114" s="357"/>
      <c r="P114" s="358">
        <f>'dod 2'!F13</f>
        <v>14904387</v>
      </c>
    </row>
    <row r="115" spans="4:16" ht="15.75">
      <c r="D115" s="360"/>
      <c r="E115" s="361"/>
      <c r="F115" s="357"/>
      <c r="G115" s="357"/>
      <c r="H115" s="357"/>
      <c r="I115" s="357"/>
      <c r="J115" s="361"/>
      <c r="K115" s="362">
        <v>152674307</v>
      </c>
      <c r="L115" s="357"/>
      <c r="M115" s="357"/>
      <c r="N115" s="358"/>
      <c r="O115" s="357"/>
      <c r="P115" s="362">
        <f>'dod 1'!C110-'dod 3'!P110</f>
        <v>-14904387</v>
      </c>
    </row>
    <row r="116" spans="4:16" ht="15.75">
      <c r="D116" s="360"/>
      <c r="E116" s="361"/>
      <c r="F116" s="362"/>
      <c r="G116" s="357"/>
      <c r="H116" s="362"/>
      <c r="I116" s="357"/>
      <c r="J116" s="361"/>
      <c r="K116" s="362">
        <f>K110-K115</f>
        <v>400000</v>
      </c>
      <c r="L116" s="357"/>
      <c r="M116" s="357"/>
      <c r="N116" s="357"/>
      <c r="O116" s="357"/>
      <c r="P116" s="362">
        <f>P114+P115</f>
        <v>0</v>
      </c>
    </row>
    <row r="117" spans="4:16" ht="15.75">
      <c r="D117" s="360"/>
      <c r="E117" s="363"/>
      <c r="F117" s="362"/>
      <c r="G117" s="357"/>
      <c r="H117" s="362"/>
      <c r="I117" s="357"/>
      <c r="J117" s="361"/>
      <c r="K117" s="362"/>
      <c r="L117" s="357"/>
      <c r="M117" s="357"/>
      <c r="N117" s="357"/>
      <c r="O117" s="357"/>
      <c r="P117" s="357">
        <v>1576663</v>
      </c>
    </row>
    <row r="118" spans="4:16" ht="15.75">
      <c r="D118" s="360"/>
      <c r="E118" s="364"/>
      <c r="F118" s="357"/>
      <c r="G118" s="357"/>
      <c r="H118" s="362"/>
      <c r="I118" s="357"/>
      <c r="J118" s="361"/>
      <c r="K118" s="357"/>
      <c r="L118" s="358"/>
      <c r="M118" s="357"/>
      <c r="N118" s="357"/>
      <c r="O118" s="357"/>
      <c r="P118" s="362">
        <f>P116-P117</f>
        <v>-1576663</v>
      </c>
    </row>
    <row r="119" spans="4:16" ht="15.75">
      <c r="D119" s="360"/>
      <c r="E119" s="364"/>
      <c r="F119" s="362"/>
      <c r="G119" s="357"/>
      <c r="H119" s="357"/>
      <c r="I119" s="357"/>
      <c r="J119" s="359"/>
      <c r="K119" s="357"/>
      <c r="L119" s="358"/>
      <c r="M119" s="357"/>
      <c r="N119" s="357"/>
      <c r="O119" s="357"/>
      <c r="P119" s="362"/>
    </row>
    <row r="120" spans="4:16" ht="15.75">
      <c r="D120" s="360"/>
      <c r="E120" s="365"/>
      <c r="F120" s="357"/>
      <c r="G120" s="357"/>
      <c r="H120" s="357"/>
      <c r="I120" s="357"/>
      <c r="J120" s="356"/>
      <c r="K120" s="357"/>
      <c r="L120" s="358"/>
      <c r="M120" s="357"/>
      <c r="N120" s="357"/>
      <c r="O120" s="357"/>
      <c r="P120" s="362"/>
    </row>
    <row r="121" spans="4:16" ht="15.75">
      <c r="D121" s="360"/>
      <c r="E121" s="366"/>
      <c r="F121" s="357"/>
      <c r="G121" s="357"/>
      <c r="H121" s="357"/>
      <c r="I121" s="357"/>
      <c r="J121" s="356"/>
      <c r="K121" s="357"/>
      <c r="L121" s="358">
        <f>O110-K110</f>
        <v>1518600</v>
      </c>
      <c r="M121" s="357"/>
      <c r="N121" s="357"/>
      <c r="O121" s="357"/>
      <c r="P121" s="357"/>
    </row>
    <row r="122" ht="15.75">
      <c r="E122" s="110"/>
    </row>
    <row r="123" ht="15.75">
      <c r="E123" s="28"/>
    </row>
  </sheetData>
  <sheetProtection/>
  <autoFilter ref="A11:S110"/>
  <mergeCells count="25">
    <mergeCell ref="L2:P2"/>
    <mergeCell ref="D5:E5"/>
    <mergeCell ref="J7:O7"/>
    <mergeCell ref="G9:G10"/>
    <mergeCell ref="E7:I7"/>
    <mergeCell ref="A7:A10"/>
    <mergeCell ref="B7:B10"/>
    <mergeCell ref="G8:H8"/>
    <mergeCell ref="A3:P3"/>
    <mergeCell ref="L8:L10"/>
    <mergeCell ref="M9:M10"/>
    <mergeCell ref="I8:I10"/>
    <mergeCell ref="D7:D10"/>
    <mergeCell ref="N9:N10"/>
    <mergeCell ref="E8:E10"/>
    <mergeCell ref="C7:C10"/>
    <mergeCell ref="F8:F10"/>
    <mergeCell ref="H9:H10"/>
    <mergeCell ref="K8:K10"/>
    <mergeCell ref="M8:N8"/>
    <mergeCell ref="L1:P1"/>
    <mergeCell ref="P7:P10"/>
    <mergeCell ref="J8:J10"/>
    <mergeCell ref="O8:O10"/>
    <mergeCell ref="A4:P4"/>
  </mergeCells>
  <printOptions/>
  <pageMargins left="0.2362204724409449" right="0.1968503937007874" top="0.4724409448818898" bottom="0.4724409448818898" header="0.2362204724409449" footer="0.2755905511811024"/>
  <pageSetup fitToHeight="9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Zeros="0" view="pageBreakPreview" zoomScaleSheetLayoutView="100" zoomScalePageLayoutView="0" workbookViewId="0" topLeftCell="A1">
      <selection activeCell="L1" sqref="L1:P1"/>
    </sheetView>
  </sheetViews>
  <sheetFormatPr defaultColWidth="7.875" defaultRowHeight="12.75"/>
  <cols>
    <col min="1" max="1" width="10.25390625" style="122" customWidth="1"/>
    <col min="2" max="2" width="10.125" style="122" customWidth="1"/>
    <col min="3" max="3" width="9.375" style="122" customWidth="1"/>
    <col min="4" max="4" width="45.625" style="122" customWidth="1"/>
    <col min="5" max="5" width="12.00390625" style="122" customWidth="1"/>
    <col min="6" max="6" width="11.75390625" style="122" customWidth="1"/>
    <col min="7" max="7" width="10.875" style="122" customWidth="1"/>
    <col min="8" max="8" width="11.125" style="122" customWidth="1"/>
    <col min="9" max="9" width="8.25390625" style="122" customWidth="1"/>
    <col min="10" max="10" width="11.00390625" style="122" customWidth="1"/>
    <col min="11" max="11" width="10.875" style="122" customWidth="1"/>
    <col min="12" max="12" width="11.00390625" style="122" customWidth="1"/>
    <col min="13" max="13" width="11.125" style="122" customWidth="1"/>
    <col min="14" max="14" width="11.00390625" style="122" customWidth="1"/>
    <col min="15" max="15" width="10.875" style="122" customWidth="1"/>
    <col min="16" max="16" width="20.25390625" style="122" customWidth="1"/>
    <col min="17" max="17" width="8.375" style="122" bestFit="1" customWidth="1"/>
    <col min="18" max="16384" width="7.875" style="122" customWidth="1"/>
  </cols>
  <sheetData>
    <row r="1" spans="1:16" ht="114" customHeight="1">
      <c r="A1" s="120"/>
      <c r="B1" s="120"/>
      <c r="C1" s="120"/>
      <c r="D1" s="121"/>
      <c r="E1" s="121"/>
      <c r="F1" s="121"/>
      <c r="G1" s="121"/>
      <c r="H1" s="121"/>
      <c r="I1" s="121"/>
      <c r="J1" s="121"/>
      <c r="K1" s="123"/>
      <c r="L1" s="658" t="s">
        <v>538</v>
      </c>
      <c r="M1" s="658"/>
      <c r="N1" s="658"/>
      <c r="O1" s="658"/>
      <c r="P1" s="658"/>
    </row>
    <row r="2" spans="1:16" ht="21" customHeight="1">
      <c r="A2" s="659" t="s">
        <v>537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</row>
    <row r="3" spans="1:16" ht="25.5" customHeight="1">
      <c r="A3" s="124"/>
      <c r="B3" s="660" t="s">
        <v>365</v>
      </c>
      <c r="C3" s="660"/>
      <c r="D3" s="125"/>
      <c r="E3" s="126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5.75" customHeight="1">
      <c r="A4" s="127"/>
      <c r="B4" s="661" t="s">
        <v>310</v>
      </c>
      <c r="C4" s="661"/>
      <c r="D4" s="128"/>
      <c r="E4" s="128"/>
      <c r="F4" s="129"/>
      <c r="G4" s="129"/>
      <c r="H4" s="129"/>
      <c r="I4" s="129"/>
      <c r="J4" s="129"/>
      <c r="K4" s="129"/>
      <c r="L4" s="129"/>
      <c r="M4" s="120"/>
      <c r="N4" s="120"/>
      <c r="O4" s="120"/>
      <c r="P4" s="130" t="s">
        <v>83</v>
      </c>
    </row>
    <row r="5" spans="1:16" s="131" customFormat="1" ht="12.75" customHeight="1">
      <c r="A5" s="662" t="s">
        <v>275</v>
      </c>
      <c r="B5" s="662" t="s">
        <v>276</v>
      </c>
      <c r="C5" s="662" t="s">
        <v>277</v>
      </c>
      <c r="D5" s="665" t="s">
        <v>325</v>
      </c>
      <c r="E5" s="666" t="s">
        <v>326</v>
      </c>
      <c r="F5" s="666"/>
      <c r="G5" s="666"/>
      <c r="H5" s="666"/>
      <c r="I5" s="666" t="s">
        <v>327</v>
      </c>
      <c r="J5" s="666"/>
      <c r="K5" s="666"/>
      <c r="L5" s="666"/>
      <c r="M5" s="666" t="s">
        <v>328</v>
      </c>
      <c r="N5" s="666"/>
      <c r="O5" s="666"/>
      <c r="P5" s="666"/>
    </row>
    <row r="6" spans="1:16" s="131" customFormat="1" ht="12.75" customHeight="1">
      <c r="A6" s="663"/>
      <c r="B6" s="663"/>
      <c r="C6" s="663"/>
      <c r="D6" s="665"/>
      <c r="E6" s="667" t="s">
        <v>68</v>
      </c>
      <c r="F6" s="667" t="s">
        <v>69</v>
      </c>
      <c r="G6" s="667"/>
      <c r="H6" s="668" t="s">
        <v>35</v>
      </c>
      <c r="I6" s="668" t="s">
        <v>68</v>
      </c>
      <c r="J6" s="671" t="s">
        <v>69</v>
      </c>
      <c r="K6" s="672"/>
      <c r="L6" s="668" t="s">
        <v>35</v>
      </c>
      <c r="M6" s="668" t="s">
        <v>68</v>
      </c>
      <c r="N6" s="673" t="s">
        <v>69</v>
      </c>
      <c r="O6" s="674"/>
      <c r="P6" s="668" t="s">
        <v>35</v>
      </c>
    </row>
    <row r="7" spans="1:16" s="132" customFormat="1" ht="51" customHeight="1">
      <c r="A7" s="663"/>
      <c r="B7" s="663"/>
      <c r="C7" s="663"/>
      <c r="D7" s="665"/>
      <c r="E7" s="667"/>
      <c r="F7" s="675" t="s">
        <v>268</v>
      </c>
      <c r="G7" s="676" t="s">
        <v>329</v>
      </c>
      <c r="H7" s="669"/>
      <c r="I7" s="669"/>
      <c r="J7" s="675" t="s">
        <v>268</v>
      </c>
      <c r="K7" s="676" t="s">
        <v>329</v>
      </c>
      <c r="L7" s="669"/>
      <c r="M7" s="669"/>
      <c r="N7" s="675" t="s">
        <v>268</v>
      </c>
      <c r="O7" s="676" t="s">
        <v>329</v>
      </c>
      <c r="P7" s="669"/>
    </row>
    <row r="8" spans="1:16" s="131" customFormat="1" ht="18" customHeight="1">
      <c r="A8" s="664"/>
      <c r="B8" s="664"/>
      <c r="C8" s="664"/>
      <c r="D8" s="665"/>
      <c r="E8" s="667"/>
      <c r="F8" s="675"/>
      <c r="G8" s="676"/>
      <c r="H8" s="670"/>
      <c r="I8" s="670"/>
      <c r="J8" s="675"/>
      <c r="K8" s="676"/>
      <c r="L8" s="670"/>
      <c r="M8" s="670"/>
      <c r="N8" s="675"/>
      <c r="O8" s="676"/>
      <c r="P8" s="670"/>
    </row>
    <row r="9" spans="1:16" s="131" customFormat="1" ht="15" customHeight="1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3">
        <v>13</v>
      </c>
      <c r="N9" s="133">
        <v>14</v>
      </c>
      <c r="O9" s="133">
        <v>15</v>
      </c>
      <c r="P9" s="133">
        <v>16</v>
      </c>
    </row>
    <row r="10" spans="1:16" s="131" customFormat="1" ht="31.5">
      <c r="A10" s="118">
        <v>3700000</v>
      </c>
      <c r="B10" s="118">
        <v>37</v>
      </c>
      <c r="C10" s="134"/>
      <c r="D10" s="135" t="s">
        <v>333</v>
      </c>
      <c r="E10" s="136">
        <f>E11</f>
        <v>0</v>
      </c>
      <c r="F10" s="136">
        <f aca="true" t="shared" si="0" ref="F10:P11">F11</f>
        <v>-73464</v>
      </c>
      <c r="G10" s="136">
        <f t="shared" si="0"/>
        <v>0</v>
      </c>
      <c r="H10" s="136">
        <f t="shared" si="0"/>
        <v>-73464</v>
      </c>
      <c r="I10" s="136">
        <f t="shared" si="0"/>
        <v>0</v>
      </c>
      <c r="J10" s="136">
        <f t="shared" si="0"/>
        <v>0</v>
      </c>
      <c r="K10" s="136">
        <f t="shared" si="0"/>
        <v>0</v>
      </c>
      <c r="L10" s="136">
        <f t="shared" si="0"/>
        <v>0</v>
      </c>
      <c r="M10" s="136">
        <f t="shared" si="0"/>
        <v>0</v>
      </c>
      <c r="N10" s="136">
        <f t="shared" si="0"/>
        <v>-73464</v>
      </c>
      <c r="O10" s="136">
        <f t="shared" si="0"/>
        <v>0</v>
      </c>
      <c r="P10" s="136">
        <f t="shared" si="0"/>
        <v>-73464</v>
      </c>
    </row>
    <row r="11" spans="1:16" ht="31.5">
      <c r="A11" s="118">
        <v>3710000</v>
      </c>
      <c r="B11" s="118">
        <v>37</v>
      </c>
      <c r="C11" s="134"/>
      <c r="D11" s="135" t="s">
        <v>334</v>
      </c>
      <c r="E11" s="136">
        <f>E12</f>
        <v>0</v>
      </c>
      <c r="F11" s="136">
        <f>+F12</f>
        <v>-73464</v>
      </c>
      <c r="G11" s="136">
        <f>+G12</f>
        <v>0</v>
      </c>
      <c r="H11" s="136">
        <f t="shared" si="0"/>
        <v>-73464</v>
      </c>
      <c r="I11" s="136">
        <f t="shared" si="0"/>
        <v>0</v>
      </c>
      <c r="J11" s="136">
        <f t="shared" si="0"/>
        <v>0</v>
      </c>
      <c r="K11" s="136">
        <f t="shared" si="0"/>
        <v>0</v>
      </c>
      <c r="L11" s="136">
        <f t="shared" si="0"/>
        <v>0</v>
      </c>
      <c r="M11" s="136">
        <f t="shared" si="0"/>
        <v>0</v>
      </c>
      <c r="N11" s="136">
        <f t="shared" si="0"/>
        <v>-73464</v>
      </c>
      <c r="O11" s="136">
        <f t="shared" si="0"/>
        <v>0</v>
      </c>
      <c r="P11" s="136">
        <f t="shared" si="0"/>
        <v>-73464</v>
      </c>
    </row>
    <row r="12" spans="1:16" ht="47.25">
      <c r="A12" s="134">
        <v>3718832</v>
      </c>
      <c r="B12" s="137">
        <v>8832</v>
      </c>
      <c r="C12" s="138" t="s">
        <v>51</v>
      </c>
      <c r="D12" s="139" t="s">
        <v>330</v>
      </c>
      <c r="E12" s="140"/>
      <c r="F12" s="140">
        <v>-73464</v>
      </c>
      <c r="G12" s="140"/>
      <c r="H12" s="140">
        <f>F12</f>
        <v>-73464</v>
      </c>
      <c r="I12" s="140"/>
      <c r="J12" s="140"/>
      <c r="K12" s="140"/>
      <c r="L12" s="140">
        <f>J12+I12</f>
        <v>0</v>
      </c>
      <c r="M12" s="141">
        <f>E12+I12</f>
        <v>0</v>
      </c>
      <c r="N12" s="141">
        <f>J12+F12</f>
        <v>-73464</v>
      </c>
      <c r="O12" s="141"/>
      <c r="P12" s="141">
        <f>M12+N12</f>
        <v>-73464</v>
      </c>
    </row>
    <row r="13" spans="1:16" ht="47.25">
      <c r="A13" s="118">
        <v>1200000</v>
      </c>
      <c r="B13" s="118">
        <v>12</v>
      </c>
      <c r="C13" s="142"/>
      <c r="D13" s="135" t="s">
        <v>335</v>
      </c>
      <c r="E13" s="143">
        <f>E14</f>
        <v>0</v>
      </c>
      <c r="F13" s="143">
        <f aca="true" t="shared" si="1" ref="F13:P14">F14</f>
        <v>0</v>
      </c>
      <c r="G13" s="143">
        <f t="shared" si="1"/>
        <v>0</v>
      </c>
      <c r="H13" s="143">
        <f t="shared" si="1"/>
        <v>0</v>
      </c>
      <c r="I13" s="143">
        <f t="shared" si="1"/>
        <v>0</v>
      </c>
      <c r="J13" s="143">
        <f t="shared" si="1"/>
        <v>73464</v>
      </c>
      <c r="K13" s="143">
        <f t="shared" si="1"/>
        <v>0</v>
      </c>
      <c r="L13" s="140">
        <f>I13+J13</f>
        <v>73464</v>
      </c>
      <c r="M13" s="143">
        <f t="shared" si="1"/>
        <v>0</v>
      </c>
      <c r="N13" s="143">
        <f t="shared" si="1"/>
        <v>73464</v>
      </c>
      <c r="O13" s="143">
        <f t="shared" si="1"/>
        <v>0</v>
      </c>
      <c r="P13" s="143">
        <f t="shared" si="1"/>
        <v>73464</v>
      </c>
    </row>
    <row r="14" spans="1:16" ht="47.25">
      <c r="A14" s="118">
        <v>1200000</v>
      </c>
      <c r="B14" s="118">
        <v>12</v>
      </c>
      <c r="C14" s="142"/>
      <c r="D14" s="135" t="s">
        <v>336</v>
      </c>
      <c r="E14" s="143">
        <f>E15</f>
        <v>0</v>
      </c>
      <c r="F14" s="143">
        <f t="shared" si="1"/>
        <v>0</v>
      </c>
      <c r="G14" s="143">
        <f t="shared" si="1"/>
        <v>0</v>
      </c>
      <c r="H14" s="143">
        <f t="shared" si="1"/>
        <v>0</v>
      </c>
      <c r="I14" s="143">
        <f t="shared" si="1"/>
        <v>0</v>
      </c>
      <c r="J14" s="143">
        <f t="shared" si="1"/>
        <v>73464</v>
      </c>
      <c r="K14" s="143">
        <f t="shared" si="1"/>
        <v>0</v>
      </c>
      <c r="L14" s="143">
        <f t="shared" si="1"/>
        <v>73464</v>
      </c>
      <c r="M14" s="143">
        <f t="shared" si="1"/>
        <v>0</v>
      </c>
      <c r="N14" s="143">
        <f t="shared" si="1"/>
        <v>73464</v>
      </c>
      <c r="O14" s="143">
        <f t="shared" si="1"/>
        <v>0</v>
      </c>
      <c r="P14" s="143">
        <f t="shared" si="1"/>
        <v>73464</v>
      </c>
    </row>
    <row r="15" spans="1:16" ht="31.5">
      <c r="A15" s="138" t="s">
        <v>383</v>
      </c>
      <c r="B15" s="137">
        <v>8831</v>
      </c>
      <c r="C15" s="145">
        <v>1060</v>
      </c>
      <c r="D15" s="146" t="s">
        <v>331</v>
      </c>
      <c r="E15" s="141"/>
      <c r="F15" s="141"/>
      <c r="G15" s="141"/>
      <c r="H15" s="141">
        <f>E15+F15</f>
        <v>0</v>
      </c>
      <c r="I15" s="141"/>
      <c r="J15" s="141">
        <v>73464</v>
      </c>
      <c r="K15" s="141"/>
      <c r="L15" s="141">
        <f>J15</f>
        <v>73464</v>
      </c>
      <c r="M15" s="141">
        <f>E15+I15</f>
        <v>0</v>
      </c>
      <c r="N15" s="141">
        <f>J15+F15</f>
        <v>73464</v>
      </c>
      <c r="O15" s="141"/>
      <c r="P15" s="141">
        <f>M15+N15</f>
        <v>73464</v>
      </c>
    </row>
    <row r="16" spans="1:16" ht="15.75">
      <c r="A16" s="137"/>
      <c r="B16" s="137"/>
      <c r="C16" s="138"/>
      <c r="D16" s="147" t="s">
        <v>332</v>
      </c>
      <c r="E16" s="148">
        <f aca="true" t="shared" si="2" ref="E16:O16">E10+E13</f>
        <v>0</v>
      </c>
      <c r="F16" s="148">
        <f t="shared" si="2"/>
        <v>-73464</v>
      </c>
      <c r="G16" s="148">
        <f t="shared" si="2"/>
        <v>0</v>
      </c>
      <c r="H16" s="148">
        <f t="shared" si="2"/>
        <v>-73464</v>
      </c>
      <c r="I16" s="148">
        <f t="shared" si="2"/>
        <v>0</v>
      </c>
      <c r="J16" s="148">
        <f t="shared" si="2"/>
        <v>73464</v>
      </c>
      <c r="K16" s="148">
        <f t="shared" si="2"/>
        <v>0</v>
      </c>
      <c r="L16" s="148">
        <f t="shared" si="2"/>
        <v>73464</v>
      </c>
      <c r="M16" s="148">
        <f t="shared" si="2"/>
        <v>0</v>
      </c>
      <c r="N16" s="148">
        <f>N10+N13+0.001</f>
        <v>0.001</v>
      </c>
      <c r="O16" s="148">
        <f t="shared" si="2"/>
        <v>0</v>
      </c>
      <c r="P16" s="148">
        <f>P10+P13+0.0001</f>
        <v>0.0001</v>
      </c>
    </row>
    <row r="17" ht="12.75">
      <c r="P17" s="144"/>
    </row>
    <row r="18" ht="12.75">
      <c r="P18" s="144"/>
    </row>
    <row r="19" ht="12.75">
      <c r="P19" s="144"/>
    </row>
    <row r="20" spans="3:16" ht="15.75">
      <c r="C20" s="212" t="s">
        <v>43</v>
      </c>
      <c r="D20" s="211"/>
      <c r="E20" s="213"/>
      <c r="F20" s="213"/>
      <c r="G20" s="213"/>
      <c r="H20" s="213"/>
      <c r="I20" s="215"/>
      <c r="J20" s="214"/>
      <c r="K20" s="213"/>
      <c r="L20" s="213"/>
      <c r="M20" s="213" t="s">
        <v>419</v>
      </c>
      <c r="N20" s="213"/>
      <c r="O20" s="213"/>
      <c r="P20" s="213"/>
    </row>
  </sheetData>
  <sheetProtection/>
  <mergeCells count="26">
    <mergeCell ref="F7:F8"/>
    <mergeCell ref="G7:G8"/>
    <mergeCell ref="J7:J8"/>
    <mergeCell ref="K7:K8"/>
    <mergeCell ref="N7:N8"/>
    <mergeCell ref="O7:O8"/>
    <mergeCell ref="M5:P5"/>
    <mergeCell ref="E6:E8"/>
    <mergeCell ref="F6:G6"/>
    <mergeCell ref="H6:H8"/>
    <mergeCell ref="I6:I8"/>
    <mergeCell ref="J6:K6"/>
    <mergeCell ref="L6:L8"/>
    <mergeCell ref="M6:M8"/>
    <mergeCell ref="N6:O6"/>
    <mergeCell ref="P6:P8"/>
    <mergeCell ref="L1:P1"/>
    <mergeCell ref="A2:P2"/>
    <mergeCell ref="B3:C3"/>
    <mergeCell ref="B4:C4"/>
    <mergeCell ref="A5:A8"/>
    <mergeCell ref="B5:B8"/>
    <mergeCell ref="C5:C8"/>
    <mergeCell ref="D5:D8"/>
    <mergeCell ref="E5:H5"/>
    <mergeCell ref="I5:L5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view="pageBreakPreview" zoomScale="80" zoomScaleSheetLayoutView="80" zoomScalePageLayoutView="0" workbookViewId="0" topLeftCell="A4">
      <selection activeCell="B21" sqref="B21"/>
    </sheetView>
  </sheetViews>
  <sheetFormatPr defaultColWidth="9.00390625" defaultRowHeight="12.75"/>
  <cols>
    <col min="1" max="1" width="27.75390625" style="0" customWidth="1"/>
    <col min="2" max="2" width="73.25390625" style="0" customWidth="1"/>
    <col min="3" max="3" width="38.125" style="0" customWidth="1"/>
    <col min="5" max="5" width="10.00390625" style="0" bestFit="1" customWidth="1"/>
  </cols>
  <sheetData>
    <row r="1" spans="2:3" ht="79.5" customHeight="1">
      <c r="B1" s="677" t="s">
        <v>539</v>
      </c>
      <c r="C1" s="677"/>
    </row>
    <row r="2" ht="15.75" customHeight="1">
      <c r="C2" s="115" t="s">
        <v>363</v>
      </c>
    </row>
    <row r="4" spans="1:3" ht="22.5">
      <c r="A4" s="678" t="s">
        <v>402</v>
      </c>
      <c r="B4" s="678"/>
      <c r="C4" s="678"/>
    </row>
    <row r="5" spans="1:2" ht="15.75" customHeight="1">
      <c r="A5" s="350" t="s">
        <v>365</v>
      </c>
      <c r="B5" s="350"/>
    </row>
    <row r="6" spans="1:2" ht="15.75" customHeight="1">
      <c r="A6" s="114" t="s">
        <v>310</v>
      </c>
      <c r="B6" s="114"/>
    </row>
    <row r="7" spans="1:2" ht="15.75" customHeight="1">
      <c r="A7" s="59"/>
      <c r="B7" s="114"/>
    </row>
    <row r="8" spans="1:2" ht="15.75" customHeight="1">
      <c r="A8" s="59"/>
      <c r="B8" s="114"/>
    </row>
    <row r="9" spans="1:3" ht="15.75" customHeight="1">
      <c r="A9" s="679" t="s">
        <v>509</v>
      </c>
      <c r="B9" s="679"/>
      <c r="C9" s="679"/>
    </row>
    <row r="10" spans="1:2" ht="15.75" customHeight="1">
      <c r="A10" s="59"/>
      <c r="B10" s="114"/>
    </row>
    <row r="11" spans="1:3" ht="12.75">
      <c r="A11" s="58"/>
      <c r="C11" s="351" t="s">
        <v>510</v>
      </c>
    </row>
    <row r="12" spans="1:3" s="4" customFormat="1" ht="49.5" customHeight="1">
      <c r="A12" s="155" t="s">
        <v>511</v>
      </c>
      <c r="B12" s="155" t="s">
        <v>512</v>
      </c>
      <c r="C12" s="240" t="s">
        <v>267</v>
      </c>
    </row>
    <row r="13" spans="1:3" s="1" customFormat="1" ht="15.75">
      <c r="A13" s="21">
        <v>1</v>
      </c>
      <c r="B13" s="21">
        <v>2</v>
      </c>
      <c r="C13" s="21">
        <v>3</v>
      </c>
    </row>
    <row r="14" spans="1:3" s="1" customFormat="1" ht="15.75">
      <c r="A14" s="680" t="s">
        <v>513</v>
      </c>
      <c r="B14" s="681"/>
      <c r="C14" s="682"/>
    </row>
    <row r="15" spans="1:3" s="1" customFormat="1" ht="51.75" customHeight="1">
      <c r="A15" s="154">
        <v>41051000</v>
      </c>
      <c r="B15" s="149" t="s">
        <v>290</v>
      </c>
      <c r="C15" s="352">
        <v>3079000</v>
      </c>
    </row>
    <row r="16" spans="1:3" s="1" customFormat="1" ht="27" customHeight="1">
      <c r="A16" s="154">
        <v>7100000000</v>
      </c>
      <c r="B16" s="149" t="s">
        <v>362</v>
      </c>
      <c r="C16" s="86">
        <v>3079000</v>
      </c>
    </row>
    <row r="17" spans="1:3" s="1" customFormat="1" ht="63" customHeight="1">
      <c r="A17" s="154">
        <v>41051200</v>
      </c>
      <c r="B17" s="149" t="s">
        <v>291</v>
      </c>
      <c r="C17" s="34">
        <v>2657400</v>
      </c>
    </row>
    <row r="18" spans="1:3" s="1" customFormat="1" ht="28.5" customHeight="1">
      <c r="A18" s="154">
        <v>7100000000</v>
      </c>
      <c r="B18" s="149" t="s">
        <v>362</v>
      </c>
      <c r="C18" s="34">
        <v>2657400</v>
      </c>
    </row>
    <row r="19" spans="1:3" s="1" customFormat="1" ht="64.5" customHeight="1">
      <c r="A19" s="154">
        <v>41055000</v>
      </c>
      <c r="B19" s="149" t="s">
        <v>458</v>
      </c>
      <c r="C19" s="34">
        <v>2242200</v>
      </c>
    </row>
    <row r="20" spans="1:3" s="1" customFormat="1" ht="21" customHeight="1">
      <c r="A20" s="154">
        <v>7100000000</v>
      </c>
      <c r="B20" s="149" t="s">
        <v>362</v>
      </c>
      <c r="C20" s="34">
        <f>C19</f>
        <v>2242200</v>
      </c>
    </row>
    <row r="21" spans="1:3" s="1" customFormat="1" ht="47.25">
      <c r="A21" s="210">
        <v>41040200</v>
      </c>
      <c r="B21" s="149" t="s">
        <v>457</v>
      </c>
      <c r="C21" s="34">
        <v>4285000</v>
      </c>
    </row>
    <row r="22" spans="1:3" s="1" customFormat="1" ht="21" customHeight="1">
      <c r="A22" s="154">
        <v>7100000000</v>
      </c>
      <c r="B22" s="149" t="s">
        <v>362</v>
      </c>
      <c r="C22" s="291">
        <v>4285000</v>
      </c>
    </row>
    <row r="23" spans="1:3" s="1" customFormat="1" ht="21" customHeight="1">
      <c r="A23" s="680" t="s">
        <v>514</v>
      </c>
      <c r="B23" s="681"/>
      <c r="C23" s="682"/>
    </row>
    <row r="24" spans="1:3" s="1" customFormat="1" ht="21" customHeight="1">
      <c r="A24" s="154"/>
      <c r="B24" s="149"/>
      <c r="C24" s="34"/>
    </row>
    <row r="25" spans="1:3" s="1" customFormat="1" ht="21" customHeight="1">
      <c r="A25" s="154" t="s">
        <v>515</v>
      </c>
      <c r="B25" s="149" t="s">
        <v>516</v>
      </c>
      <c r="C25" s="34">
        <f>C15+C17+C19+C21</f>
        <v>12263600</v>
      </c>
    </row>
    <row r="26" spans="1:3" s="1" customFormat="1" ht="21" customHeight="1">
      <c r="A26" s="154" t="s">
        <v>515</v>
      </c>
      <c r="B26" s="149" t="s">
        <v>517</v>
      </c>
      <c r="C26" s="34">
        <f>C25</f>
        <v>12263600</v>
      </c>
    </row>
    <row r="27" spans="1:3" s="1" customFormat="1" ht="21" customHeight="1">
      <c r="A27" s="154" t="s">
        <v>515</v>
      </c>
      <c r="B27" s="149" t="s">
        <v>518</v>
      </c>
      <c r="C27" s="34">
        <v>0</v>
      </c>
    </row>
    <row r="29" ht="15.75">
      <c r="D29" s="213"/>
    </row>
    <row r="30" spans="2:3" ht="15.75">
      <c r="B30" s="212" t="s">
        <v>43</v>
      </c>
      <c r="C30" s="213" t="s">
        <v>419</v>
      </c>
    </row>
    <row r="44" ht="12.75">
      <c r="B44" s="353"/>
    </row>
  </sheetData>
  <sheetProtection/>
  <mergeCells count="5">
    <mergeCell ref="B1:C1"/>
    <mergeCell ref="A4:C4"/>
    <mergeCell ref="A9:C9"/>
    <mergeCell ref="A14:C14"/>
    <mergeCell ref="A23:C23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view="pageBreakPreview" zoomScale="55" zoomScaleNormal="66" zoomScaleSheetLayoutView="55" workbookViewId="0" topLeftCell="A124">
      <selection activeCell="J89" sqref="J89"/>
    </sheetView>
  </sheetViews>
  <sheetFormatPr defaultColWidth="9.00390625" defaultRowHeight="12.75"/>
  <cols>
    <col min="1" max="1" width="4.625" style="404" customWidth="1"/>
    <col min="2" max="2" width="19.00390625" style="404" customWidth="1"/>
    <col min="3" max="3" width="18.875" style="404" customWidth="1"/>
    <col min="4" max="4" width="18.75390625" style="404" customWidth="1"/>
    <col min="5" max="5" width="43.00390625" style="404" customWidth="1"/>
    <col min="6" max="6" width="54.00390625" style="404" customWidth="1"/>
    <col min="7" max="7" width="28.25390625" style="404" customWidth="1"/>
    <col min="8" max="8" width="26.25390625" style="520" customWidth="1"/>
    <col min="9" max="9" width="18.875" style="521" customWidth="1"/>
    <col min="10" max="10" width="29.00390625" style="520" customWidth="1"/>
    <col min="11" max="11" width="23.625" style="521" customWidth="1"/>
    <col min="12" max="12" width="14.00390625" style="274" bestFit="1" customWidth="1"/>
    <col min="13" max="13" width="17.25390625" style="274" bestFit="1" customWidth="1"/>
    <col min="14" max="14" width="15.75390625" style="274" bestFit="1" customWidth="1"/>
    <col min="15" max="15" width="18.125" style="274" customWidth="1"/>
    <col min="16" max="16384" width="9.125" style="274" customWidth="1"/>
  </cols>
  <sheetData>
    <row r="1" spans="2:11" ht="83.25" customHeight="1">
      <c r="B1" s="405"/>
      <c r="C1" s="405"/>
      <c r="D1" s="405"/>
      <c r="E1" s="405"/>
      <c r="F1" s="406"/>
      <c r="G1" s="406"/>
      <c r="H1" s="684" t="s">
        <v>540</v>
      </c>
      <c r="I1" s="684"/>
      <c r="J1" s="684"/>
      <c r="K1" s="684"/>
    </row>
    <row r="2" spans="2:11" ht="36.75" customHeight="1">
      <c r="B2" s="405"/>
      <c r="C2" s="405"/>
      <c r="D2" s="405"/>
      <c r="E2" s="405"/>
      <c r="F2" s="406"/>
      <c r="G2" s="371"/>
      <c r="H2" s="330" t="s">
        <v>322</v>
      </c>
      <c r="I2" s="344"/>
      <c r="J2" s="330"/>
      <c r="K2" s="344"/>
    </row>
    <row r="3" spans="2:11" ht="64.5" customHeight="1">
      <c r="B3" s="683" t="s">
        <v>561</v>
      </c>
      <c r="C3" s="683"/>
      <c r="D3" s="683"/>
      <c r="E3" s="683"/>
      <c r="F3" s="683"/>
      <c r="G3" s="683"/>
      <c r="H3" s="683"/>
      <c r="I3" s="683"/>
      <c r="J3" s="683"/>
      <c r="K3" s="683"/>
    </row>
    <row r="4" spans="2:11" s="404" customFormat="1" ht="14.25" customHeight="1">
      <c r="B4" s="405"/>
      <c r="C4" s="405"/>
      <c r="D4" s="405"/>
      <c r="E4" s="685" t="s">
        <v>365</v>
      </c>
      <c r="F4" s="685"/>
      <c r="G4" s="405"/>
      <c r="H4" s="405"/>
      <c r="I4" s="407"/>
      <c r="J4" s="405"/>
      <c r="K4" s="407"/>
    </row>
    <row r="5" spans="2:11" ht="18.75">
      <c r="B5" s="408"/>
      <c r="C5" s="409"/>
      <c r="D5" s="409"/>
      <c r="E5" s="410" t="s">
        <v>310</v>
      </c>
      <c r="F5" s="409"/>
      <c r="G5" s="409"/>
      <c r="H5" s="411"/>
      <c r="I5" s="412"/>
      <c r="J5" s="411"/>
      <c r="K5" s="413"/>
    </row>
    <row r="6" spans="2:11" ht="18.75">
      <c r="B6" s="408"/>
      <c r="C6" s="409"/>
      <c r="D6" s="409"/>
      <c r="E6" s="410"/>
      <c r="F6" s="409"/>
      <c r="G6" s="409"/>
      <c r="H6" s="411"/>
      <c r="I6" s="412"/>
      <c r="J6" s="411"/>
      <c r="K6" s="413" t="s">
        <v>83</v>
      </c>
    </row>
    <row r="7" spans="1:11" ht="153" customHeight="1">
      <c r="A7" s="414"/>
      <c r="B7" s="336" t="s">
        <v>316</v>
      </c>
      <c r="C7" s="415" t="s">
        <v>315</v>
      </c>
      <c r="D7" s="415" t="s">
        <v>314</v>
      </c>
      <c r="E7" s="415" t="s">
        <v>313</v>
      </c>
      <c r="F7" s="336" t="s">
        <v>312</v>
      </c>
      <c r="G7" s="336" t="s">
        <v>317</v>
      </c>
      <c r="H7" s="336" t="s">
        <v>318</v>
      </c>
      <c r="I7" s="339" t="s">
        <v>319</v>
      </c>
      <c r="J7" s="336" t="s">
        <v>320</v>
      </c>
      <c r="K7" s="337" t="s">
        <v>321</v>
      </c>
    </row>
    <row r="8" spans="1:11" s="421" customFormat="1" ht="18.75">
      <c r="A8" s="416"/>
      <c r="B8" s="417">
        <f>1</f>
        <v>1</v>
      </c>
      <c r="C8" s="417">
        <f aca="true" t="shared" si="0" ref="C8:J8">1+B8</f>
        <v>2</v>
      </c>
      <c r="D8" s="417">
        <f t="shared" si="0"/>
        <v>3</v>
      </c>
      <c r="E8" s="417">
        <f t="shared" si="0"/>
        <v>4</v>
      </c>
      <c r="F8" s="417">
        <f t="shared" si="0"/>
        <v>5</v>
      </c>
      <c r="G8" s="417">
        <v>6</v>
      </c>
      <c r="H8" s="418">
        <v>7</v>
      </c>
      <c r="I8" s="419">
        <f t="shared" si="0"/>
        <v>8</v>
      </c>
      <c r="J8" s="418">
        <f t="shared" si="0"/>
        <v>9</v>
      </c>
      <c r="K8" s="420">
        <v>10</v>
      </c>
    </row>
    <row r="9" spans="1:11" s="421" customFormat="1" ht="75">
      <c r="A9" s="416"/>
      <c r="B9" s="422" t="s">
        <v>213</v>
      </c>
      <c r="C9" s="423" t="s">
        <v>212</v>
      </c>
      <c r="D9" s="423" t="s">
        <v>212</v>
      </c>
      <c r="E9" s="424" t="s">
        <v>349</v>
      </c>
      <c r="F9" s="425"/>
      <c r="G9" s="426"/>
      <c r="H9" s="427">
        <f>H10</f>
        <v>147782333</v>
      </c>
      <c r="I9" s="428"/>
      <c r="J9" s="427">
        <f>J10</f>
        <v>37950484</v>
      </c>
      <c r="K9" s="429"/>
    </row>
    <row r="10" spans="1:11" s="421" customFormat="1" ht="75">
      <c r="A10" s="416"/>
      <c r="B10" s="422" t="s">
        <v>214</v>
      </c>
      <c r="C10" s="423"/>
      <c r="D10" s="423"/>
      <c r="E10" s="424" t="s">
        <v>350</v>
      </c>
      <c r="F10" s="425"/>
      <c r="G10" s="426"/>
      <c r="H10" s="430">
        <f>H11+H25+H36+H44</f>
        <v>147782333</v>
      </c>
      <c r="I10" s="428"/>
      <c r="J10" s="430">
        <f>J11+J25+J36+J44</f>
        <v>37950484</v>
      </c>
      <c r="K10" s="429"/>
    </row>
    <row r="11" spans="1:12" s="421" customFormat="1" ht="102.75" customHeight="1">
      <c r="A11" s="416"/>
      <c r="B11" s="422" t="s">
        <v>222</v>
      </c>
      <c r="C11" s="423" t="s">
        <v>80</v>
      </c>
      <c r="D11" s="423" t="s">
        <v>60</v>
      </c>
      <c r="E11" s="431" t="s">
        <v>223</v>
      </c>
      <c r="F11" s="432"/>
      <c r="G11" s="433"/>
      <c r="H11" s="340">
        <f>H12+H13+H14+H15+H17+H19+H21+H23</f>
        <v>47875521</v>
      </c>
      <c r="I11" s="341"/>
      <c r="J11" s="340">
        <f>J12+J13+J14+J15+J17+J19+J21+J23</f>
        <v>12104086</v>
      </c>
      <c r="K11" s="429"/>
      <c r="L11" s="421">
        <f>25596974+12353510</f>
        <v>37950484</v>
      </c>
    </row>
    <row r="12" spans="1:11" s="421" customFormat="1" ht="62.25" customHeight="1">
      <c r="A12" s="416"/>
      <c r="B12" s="434" t="s">
        <v>222</v>
      </c>
      <c r="C12" s="435" t="s">
        <v>80</v>
      </c>
      <c r="D12" s="435" t="s">
        <v>60</v>
      </c>
      <c r="E12" s="436" t="s">
        <v>223</v>
      </c>
      <c r="F12" s="437" t="s">
        <v>469</v>
      </c>
      <c r="G12" s="438" t="s">
        <v>414</v>
      </c>
      <c r="H12" s="348">
        <v>2237586</v>
      </c>
      <c r="I12" s="349">
        <v>67.9</v>
      </c>
      <c r="J12" s="348">
        <v>635800</v>
      </c>
      <c r="K12" s="439">
        <v>96.4</v>
      </c>
    </row>
    <row r="13" spans="1:11" s="421" customFormat="1" ht="72.75" customHeight="1">
      <c r="A13" s="416"/>
      <c r="B13" s="434" t="s">
        <v>222</v>
      </c>
      <c r="C13" s="435" t="s">
        <v>80</v>
      </c>
      <c r="D13" s="435" t="s">
        <v>60</v>
      </c>
      <c r="E13" s="440" t="s">
        <v>223</v>
      </c>
      <c r="F13" s="441" t="s">
        <v>470</v>
      </c>
      <c r="G13" s="442" t="s">
        <v>414</v>
      </c>
      <c r="H13" s="443">
        <v>4945392</v>
      </c>
      <c r="I13" s="444">
        <v>86.1</v>
      </c>
      <c r="J13" s="445">
        <v>582378</v>
      </c>
      <c r="K13" s="446">
        <v>100</v>
      </c>
    </row>
    <row r="14" spans="1:11" s="421" customFormat="1" ht="51" customHeight="1">
      <c r="A14" s="416"/>
      <c r="B14" s="434" t="s">
        <v>222</v>
      </c>
      <c r="C14" s="435" t="s">
        <v>80</v>
      </c>
      <c r="D14" s="435" t="s">
        <v>60</v>
      </c>
      <c r="E14" s="440" t="s">
        <v>223</v>
      </c>
      <c r="F14" s="447" t="s">
        <v>471</v>
      </c>
      <c r="G14" s="448" t="s">
        <v>472</v>
      </c>
      <c r="H14" s="449">
        <v>7667156</v>
      </c>
      <c r="I14" s="450">
        <v>77.5</v>
      </c>
      <c r="J14" s="451">
        <v>1185908</v>
      </c>
      <c r="K14" s="446">
        <v>93</v>
      </c>
    </row>
    <row r="15" spans="1:11" s="421" customFormat="1" ht="68.25" customHeight="1">
      <c r="A15" s="416"/>
      <c r="B15" s="434" t="s">
        <v>222</v>
      </c>
      <c r="C15" s="435" t="s">
        <v>80</v>
      </c>
      <c r="D15" s="435" t="s">
        <v>60</v>
      </c>
      <c r="E15" s="436" t="s">
        <v>223</v>
      </c>
      <c r="F15" s="530" t="s">
        <v>502</v>
      </c>
      <c r="G15" s="471" t="s">
        <v>414</v>
      </c>
      <c r="H15" s="348">
        <v>3350345</v>
      </c>
      <c r="I15" s="349">
        <v>14.9</v>
      </c>
      <c r="J15" s="514">
        <v>2000000</v>
      </c>
      <c r="K15" s="452">
        <v>74.6</v>
      </c>
    </row>
    <row r="16" spans="1:11" s="421" customFormat="1" ht="46.5" customHeight="1">
      <c r="A16" s="416"/>
      <c r="B16" s="434"/>
      <c r="C16" s="435"/>
      <c r="D16" s="435"/>
      <c r="E16" s="436"/>
      <c r="F16" s="768" t="s">
        <v>501</v>
      </c>
      <c r="G16" s="531"/>
      <c r="H16" s="531"/>
      <c r="I16" s="532"/>
      <c r="J16" s="514">
        <v>2000000</v>
      </c>
      <c r="K16" s="429"/>
    </row>
    <row r="17" spans="1:11" s="421" customFormat="1" ht="60.75" customHeight="1">
      <c r="A17" s="416"/>
      <c r="B17" s="434" t="s">
        <v>222</v>
      </c>
      <c r="C17" s="435" t="s">
        <v>80</v>
      </c>
      <c r="D17" s="435" t="s">
        <v>60</v>
      </c>
      <c r="E17" s="440" t="s">
        <v>223</v>
      </c>
      <c r="F17" s="441" t="s">
        <v>503</v>
      </c>
      <c r="G17" s="533" t="s">
        <v>414</v>
      </c>
      <c r="H17" s="534">
        <v>3763007</v>
      </c>
      <c r="I17" s="450">
        <v>3</v>
      </c>
      <c r="J17" s="459">
        <v>3000000</v>
      </c>
      <c r="K17" s="329">
        <v>82.9</v>
      </c>
    </row>
    <row r="18" spans="1:11" s="421" customFormat="1" ht="45" customHeight="1">
      <c r="A18" s="416"/>
      <c r="B18" s="434"/>
      <c r="C18" s="435"/>
      <c r="D18" s="435"/>
      <c r="E18" s="440"/>
      <c r="F18" s="768" t="s">
        <v>501</v>
      </c>
      <c r="G18" s="453"/>
      <c r="H18" s="454"/>
      <c r="I18" s="428"/>
      <c r="J18" s="535">
        <v>3000000</v>
      </c>
      <c r="K18" s="329"/>
    </row>
    <row r="19" spans="1:11" s="421" customFormat="1" ht="56.25">
      <c r="A19" s="416"/>
      <c r="B19" s="434" t="s">
        <v>222</v>
      </c>
      <c r="C19" s="435" t="s">
        <v>80</v>
      </c>
      <c r="D19" s="435" t="s">
        <v>60</v>
      </c>
      <c r="E19" s="440" t="s">
        <v>223</v>
      </c>
      <c r="F19" s="457" t="s">
        <v>504</v>
      </c>
      <c r="G19" s="536" t="s">
        <v>414</v>
      </c>
      <c r="H19" s="537">
        <v>3051663</v>
      </c>
      <c r="I19" s="450">
        <v>59.2</v>
      </c>
      <c r="J19" s="451">
        <v>700000</v>
      </c>
      <c r="K19" s="329">
        <v>82.1</v>
      </c>
    </row>
    <row r="20" spans="1:11" s="421" customFormat="1" ht="37.5">
      <c r="A20" s="416"/>
      <c r="B20" s="434"/>
      <c r="C20" s="435"/>
      <c r="D20" s="435"/>
      <c r="E20" s="440"/>
      <c r="F20" s="768" t="s">
        <v>501</v>
      </c>
      <c r="G20" s="453"/>
      <c r="H20" s="454"/>
      <c r="I20" s="428"/>
      <c r="J20" s="535">
        <v>700000</v>
      </c>
      <c r="K20" s="329"/>
    </row>
    <row r="21" spans="1:11" s="421" customFormat="1" ht="63.75" customHeight="1">
      <c r="A21" s="416"/>
      <c r="B21" s="434" t="s">
        <v>222</v>
      </c>
      <c r="C21" s="435" t="s">
        <v>80</v>
      </c>
      <c r="D21" s="435" t="s">
        <v>60</v>
      </c>
      <c r="E21" s="440" t="s">
        <v>223</v>
      </c>
      <c r="F21" s="457" t="s">
        <v>505</v>
      </c>
      <c r="G21" s="536" t="s">
        <v>414</v>
      </c>
      <c r="H21" s="537">
        <v>8611673</v>
      </c>
      <c r="I21" s="450">
        <v>49.6</v>
      </c>
      <c r="J21" s="459">
        <v>3000000</v>
      </c>
      <c r="K21" s="329">
        <v>84.4</v>
      </c>
    </row>
    <row r="22" spans="1:11" s="421" customFormat="1" ht="43.5" customHeight="1">
      <c r="A22" s="416"/>
      <c r="B22" s="434"/>
      <c r="C22" s="435"/>
      <c r="D22" s="435"/>
      <c r="E22" s="440"/>
      <c r="F22" s="768" t="s">
        <v>501</v>
      </c>
      <c r="G22" s="453"/>
      <c r="H22" s="454"/>
      <c r="I22" s="428"/>
      <c r="J22" s="535">
        <v>3000000</v>
      </c>
      <c r="K22" s="329"/>
    </row>
    <row r="23" spans="1:11" s="421" customFormat="1" ht="41.25" customHeight="1">
      <c r="A23" s="416"/>
      <c r="B23" s="434" t="s">
        <v>222</v>
      </c>
      <c r="C23" s="435" t="s">
        <v>80</v>
      </c>
      <c r="D23" s="435" t="s">
        <v>60</v>
      </c>
      <c r="E23" s="440" t="s">
        <v>223</v>
      </c>
      <c r="F23" s="457" t="s">
        <v>506</v>
      </c>
      <c r="G23" s="538" t="s">
        <v>418</v>
      </c>
      <c r="H23" s="459">
        <v>14248699</v>
      </c>
      <c r="I23" s="450">
        <v>70.8</v>
      </c>
      <c r="J23" s="459">
        <v>1000000</v>
      </c>
      <c r="K23" s="329">
        <v>77.8</v>
      </c>
    </row>
    <row r="24" spans="1:11" s="421" customFormat="1" ht="37.5">
      <c r="A24" s="416"/>
      <c r="B24" s="434"/>
      <c r="C24" s="435"/>
      <c r="D24" s="435"/>
      <c r="E24" s="440"/>
      <c r="F24" s="768" t="s">
        <v>501</v>
      </c>
      <c r="G24" s="453"/>
      <c r="H24" s="454"/>
      <c r="I24" s="428"/>
      <c r="J24" s="535">
        <v>1000000</v>
      </c>
      <c r="K24" s="329"/>
    </row>
    <row r="25" spans="1:11" s="421" customFormat="1" ht="37.5">
      <c r="A25" s="416"/>
      <c r="B25" s="423" t="s">
        <v>4</v>
      </c>
      <c r="C25" s="423" t="s">
        <v>247</v>
      </c>
      <c r="D25" s="455" t="s">
        <v>221</v>
      </c>
      <c r="E25" s="431" t="s">
        <v>280</v>
      </c>
      <c r="F25" s="425"/>
      <c r="G25" s="426"/>
      <c r="H25" s="427">
        <f>SUM(H26+H27+H28+H29+H31+H32)</f>
        <v>31907307</v>
      </c>
      <c r="I25" s="428"/>
      <c r="J25" s="427">
        <f>J26+J27+J28+J29+J31+J32+J34</f>
        <v>14091937</v>
      </c>
      <c r="K25" s="429"/>
    </row>
    <row r="26" spans="1:11" s="421" customFormat="1" ht="56.25">
      <c r="A26" s="416"/>
      <c r="B26" s="435" t="s">
        <v>4</v>
      </c>
      <c r="C26" s="435" t="s">
        <v>247</v>
      </c>
      <c r="D26" s="456" t="s">
        <v>221</v>
      </c>
      <c r="E26" s="440" t="s">
        <v>280</v>
      </c>
      <c r="F26" s="457" t="s">
        <v>475</v>
      </c>
      <c r="G26" s="458" t="s">
        <v>414</v>
      </c>
      <c r="H26" s="459">
        <v>6426432</v>
      </c>
      <c r="I26" s="450">
        <v>43</v>
      </c>
      <c r="J26" s="459">
        <v>3483909</v>
      </c>
      <c r="K26" s="460">
        <v>97.3</v>
      </c>
    </row>
    <row r="27" spans="1:11" s="421" customFormat="1" ht="89.25" customHeight="1">
      <c r="A27" s="416"/>
      <c r="B27" s="435" t="s">
        <v>4</v>
      </c>
      <c r="C27" s="435" t="s">
        <v>247</v>
      </c>
      <c r="D27" s="456" t="s">
        <v>221</v>
      </c>
      <c r="E27" s="440" t="s">
        <v>280</v>
      </c>
      <c r="F27" s="457" t="s">
        <v>476</v>
      </c>
      <c r="G27" s="458" t="s">
        <v>472</v>
      </c>
      <c r="H27" s="459">
        <v>12062775</v>
      </c>
      <c r="I27" s="450">
        <v>76.4</v>
      </c>
      <c r="J27" s="459">
        <v>2838985</v>
      </c>
      <c r="K27" s="460">
        <v>100</v>
      </c>
    </row>
    <row r="28" spans="1:11" s="421" customFormat="1" ht="64.5" customHeight="1">
      <c r="A28" s="416"/>
      <c r="B28" s="435" t="s">
        <v>4</v>
      </c>
      <c r="C28" s="435" t="s">
        <v>247</v>
      </c>
      <c r="D28" s="456" t="s">
        <v>221</v>
      </c>
      <c r="E28" s="440" t="s">
        <v>280</v>
      </c>
      <c r="F28" s="457" t="s">
        <v>477</v>
      </c>
      <c r="G28" s="458" t="s">
        <v>472</v>
      </c>
      <c r="H28" s="459">
        <v>4630708</v>
      </c>
      <c r="I28" s="450">
        <v>77.8</v>
      </c>
      <c r="J28" s="459">
        <v>1084350</v>
      </c>
      <c r="K28" s="460">
        <v>100</v>
      </c>
    </row>
    <row r="29" spans="1:11" s="421" customFormat="1" ht="99" customHeight="1">
      <c r="A29" s="416"/>
      <c r="B29" s="435" t="s">
        <v>4</v>
      </c>
      <c r="C29" s="435" t="s">
        <v>247</v>
      </c>
      <c r="D29" s="456" t="s">
        <v>221</v>
      </c>
      <c r="E29" s="440" t="s">
        <v>280</v>
      </c>
      <c r="F29" s="457" t="s">
        <v>567</v>
      </c>
      <c r="G29" s="453"/>
      <c r="H29" s="461"/>
      <c r="I29" s="462"/>
      <c r="J29" s="461">
        <v>9247</v>
      </c>
      <c r="K29" s="329"/>
    </row>
    <row r="30" spans="1:11" s="421" customFormat="1" ht="22.5" customHeight="1">
      <c r="A30" s="416"/>
      <c r="B30" s="435"/>
      <c r="C30" s="435"/>
      <c r="D30" s="456"/>
      <c r="E30" s="440"/>
      <c r="F30" s="463" t="s">
        <v>474</v>
      </c>
      <c r="G30" s="453"/>
      <c r="H30" s="461"/>
      <c r="I30" s="462"/>
      <c r="J30" s="461">
        <v>9247</v>
      </c>
      <c r="K30" s="329"/>
    </row>
    <row r="31" spans="1:11" s="421" customFormat="1" ht="85.5" customHeight="1">
      <c r="A31" s="416"/>
      <c r="B31" s="435" t="s">
        <v>4</v>
      </c>
      <c r="C31" s="435" t="s">
        <v>247</v>
      </c>
      <c r="D31" s="456" t="s">
        <v>221</v>
      </c>
      <c r="E31" s="440" t="s">
        <v>390</v>
      </c>
      <c r="F31" s="457" t="s">
        <v>478</v>
      </c>
      <c r="G31" s="458" t="s">
        <v>414</v>
      </c>
      <c r="H31" s="459">
        <v>7987392</v>
      </c>
      <c r="I31" s="450">
        <v>27.8</v>
      </c>
      <c r="J31" s="459">
        <v>5584322</v>
      </c>
      <c r="K31" s="329">
        <v>97.7</v>
      </c>
    </row>
    <row r="32" spans="1:11" s="421" customFormat="1" ht="65.25" customHeight="1">
      <c r="A32" s="416"/>
      <c r="B32" s="435" t="s">
        <v>4</v>
      </c>
      <c r="C32" s="435" t="s">
        <v>247</v>
      </c>
      <c r="D32" s="456" t="s">
        <v>221</v>
      </c>
      <c r="E32" s="440" t="s">
        <v>390</v>
      </c>
      <c r="F32" s="464" t="s">
        <v>479</v>
      </c>
      <c r="G32" s="458">
        <v>2021</v>
      </c>
      <c r="H32" s="459">
        <v>800000</v>
      </c>
      <c r="I32" s="450"/>
      <c r="J32" s="459">
        <v>800000</v>
      </c>
      <c r="K32" s="465">
        <v>100</v>
      </c>
    </row>
    <row r="33" spans="1:11" s="421" customFormat="1" ht="26.25" customHeight="1">
      <c r="A33" s="416"/>
      <c r="B33" s="422"/>
      <c r="C33" s="423"/>
      <c r="D33" s="423"/>
      <c r="E33" s="251"/>
      <c r="F33" s="463" t="s">
        <v>474</v>
      </c>
      <c r="G33" s="458"/>
      <c r="H33" s="459"/>
      <c r="I33" s="450"/>
      <c r="J33" s="459">
        <v>49900</v>
      </c>
      <c r="K33" s="465"/>
    </row>
    <row r="34" spans="1:11" s="421" customFormat="1" ht="39.75" customHeight="1">
      <c r="A34" s="416"/>
      <c r="B34" s="435" t="s">
        <v>4</v>
      </c>
      <c r="C34" s="435" t="s">
        <v>247</v>
      </c>
      <c r="D34" s="456" t="s">
        <v>221</v>
      </c>
      <c r="E34" s="440" t="s">
        <v>390</v>
      </c>
      <c r="F34" s="457" t="s">
        <v>480</v>
      </c>
      <c r="G34" s="458"/>
      <c r="H34" s="459"/>
      <c r="I34" s="450"/>
      <c r="J34" s="459">
        <v>291124</v>
      </c>
      <c r="K34" s="329"/>
    </row>
    <row r="35" spans="1:11" s="421" customFormat="1" ht="21.75" customHeight="1">
      <c r="A35" s="416"/>
      <c r="B35" s="434"/>
      <c r="C35" s="435"/>
      <c r="D35" s="435"/>
      <c r="E35" s="466"/>
      <c r="F35" s="463" t="s">
        <v>474</v>
      </c>
      <c r="G35" s="458"/>
      <c r="H35" s="459"/>
      <c r="I35" s="467"/>
      <c r="J35" s="459">
        <v>291124</v>
      </c>
      <c r="K35" s="329"/>
    </row>
    <row r="36" spans="1:14" s="421" customFormat="1" ht="37.5">
      <c r="A36" s="416"/>
      <c r="B36" s="422" t="s">
        <v>305</v>
      </c>
      <c r="C36" s="423" t="s">
        <v>252</v>
      </c>
      <c r="D36" s="423" t="s">
        <v>221</v>
      </c>
      <c r="E36" s="251" t="s">
        <v>403</v>
      </c>
      <c r="F36" s="463"/>
      <c r="G36" s="458"/>
      <c r="H36" s="338">
        <f>H37+H40+H42</f>
        <v>24266211</v>
      </c>
      <c r="I36" s="338"/>
      <c r="J36" s="338">
        <f>J37+J40+J42</f>
        <v>2673510</v>
      </c>
      <c r="K36" s="329"/>
      <c r="N36" s="468">
        <f>J39+J41+J43</f>
        <v>2653510</v>
      </c>
    </row>
    <row r="37" spans="1:11" s="421" customFormat="1" ht="66.75" customHeight="1">
      <c r="A37" s="416"/>
      <c r="B37" s="434" t="s">
        <v>305</v>
      </c>
      <c r="C37" s="435" t="s">
        <v>252</v>
      </c>
      <c r="D37" s="435" t="s">
        <v>221</v>
      </c>
      <c r="E37" s="342" t="s">
        <v>403</v>
      </c>
      <c r="F37" s="539" t="s">
        <v>481</v>
      </c>
      <c r="G37" s="458">
        <v>2021</v>
      </c>
      <c r="H37" s="449">
        <v>1186664</v>
      </c>
      <c r="I37" s="467">
        <v>0</v>
      </c>
      <c r="J37" s="459">
        <f>20000+1000000</f>
        <v>1020000</v>
      </c>
      <c r="K37" s="329">
        <v>84.3</v>
      </c>
    </row>
    <row r="38" spans="1:11" s="421" customFormat="1" ht="36" customHeight="1">
      <c r="A38" s="416"/>
      <c r="B38" s="434"/>
      <c r="C38" s="435"/>
      <c r="D38" s="469"/>
      <c r="E38" s="343"/>
      <c r="F38" s="770" t="s">
        <v>474</v>
      </c>
      <c r="G38" s="471"/>
      <c r="H38" s="348"/>
      <c r="I38" s="472"/>
      <c r="J38" s="459">
        <v>20000</v>
      </c>
      <c r="K38" s="329"/>
    </row>
    <row r="39" spans="1:11" s="421" customFormat="1" ht="54" customHeight="1">
      <c r="A39" s="416"/>
      <c r="B39" s="434"/>
      <c r="C39" s="435"/>
      <c r="D39" s="469"/>
      <c r="E39" s="343"/>
      <c r="F39" s="771" t="s">
        <v>501</v>
      </c>
      <c r="G39" s="471"/>
      <c r="H39" s="348"/>
      <c r="I39" s="472"/>
      <c r="J39" s="459">
        <v>1000000</v>
      </c>
      <c r="K39" s="329"/>
    </row>
    <row r="40" spans="1:11" s="421" customFormat="1" ht="57" customHeight="1">
      <c r="A40" s="416"/>
      <c r="B40" s="434" t="s">
        <v>305</v>
      </c>
      <c r="C40" s="435" t="s">
        <v>252</v>
      </c>
      <c r="D40" s="473" t="s">
        <v>221</v>
      </c>
      <c r="E40" s="346" t="s">
        <v>403</v>
      </c>
      <c r="F40" s="437" t="s">
        <v>507</v>
      </c>
      <c r="G40" s="540" t="s">
        <v>414</v>
      </c>
      <c r="H40" s="348">
        <v>11055050</v>
      </c>
      <c r="I40" s="339">
        <v>83</v>
      </c>
      <c r="J40" s="348">
        <v>653510</v>
      </c>
      <c r="K40" s="474">
        <v>88.9</v>
      </c>
    </row>
    <row r="41" spans="1:11" s="421" customFormat="1" ht="48.75" customHeight="1">
      <c r="A41" s="416"/>
      <c r="B41" s="434"/>
      <c r="C41" s="469"/>
      <c r="D41" s="475"/>
      <c r="E41" s="345"/>
      <c r="F41" s="769" t="s">
        <v>501</v>
      </c>
      <c r="G41" s="471"/>
      <c r="H41" s="348"/>
      <c r="I41" s="339"/>
      <c r="J41" s="348">
        <v>653510</v>
      </c>
      <c r="K41" s="474"/>
    </row>
    <row r="42" spans="1:11" s="421" customFormat="1" ht="48.75" customHeight="1">
      <c r="A42" s="416"/>
      <c r="B42" s="434" t="s">
        <v>305</v>
      </c>
      <c r="C42" s="435" t="s">
        <v>252</v>
      </c>
      <c r="D42" s="473" t="s">
        <v>221</v>
      </c>
      <c r="E42" s="346" t="s">
        <v>403</v>
      </c>
      <c r="F42" s="437" t="s">
        <v>508</v>
      </c>
      <c r="G42" s="541" t="s">
        <v>414</v>
      </c>
      <c r="H42" s="542">
        <v>12024497</v>
      </c>
      <c r="I42" s="543">
        <v>85</v>
      </c>
      <c r="J42" s="348">
        <v>1000000</v>
      </c>
      <c r="K42" s="474">
        <v>93.4</v>
      </c>
    </row>
    <row r="43" spans="1:11" s="421" customFormat="1" ht="48.75" customHeight="1">
      <c r="A43" s="416"/>
      <c r="B43" s="434"/>
      <c r="C43" s="469"/>
      <c r="D43" s="475"/>
      <c r="E43" s="345"/>
      <c r="F43" s="769" t="s">
        <v>501</v>
      </c>
      <c r="G43" s="471"/>
      <c r="H43" s="348"/>
      <c r="I43" s="339"/>
      <c r="J43" s="348">
        <v>1000000</v>
      </c>
      <c r="K43" s="474"/>
    </row>
    <row r="44" spans="1:12" s="421" customFormat="1" ht="93.75">
      <c r="A44" s="416"/>
      <c r="B44" s="422" t="s">
        <v>5</v>
      </c>
      <c r="C44" s="476" t="s">
        <v>6</v>
      </c>
      <c r="D44" s="477" t="s">
        <v>7</v>
      </c>
      <c r="E44" s="478" t="s">
        <v>8</v>
      </c>
      <c r="F44" s="757"/>
      <c r="G44" s="347"/>
      <c r="H44" s="236">
        <f>H45+H46+H47+H48</f>
        <v>43733294</v>
      </c>
      <c r="I44" s="339"/>
      <c r="J44" s="236">
        <f>J45+J46+J47+J48</f>
        <v>9080951</v>
      </c>
      <c r="K44" s="758"/>
      <c r="L44" s="479"/>
    </row>
    <row r="45" spans="1:11" s="421" customFormat="1" ht="80.25" customHeight="1">
      <c r="A45" s="416"/>
      <c r="B45" s="434" t="s">
        <v>5</v>
      </c>
      <c r="C45" s="434" t="s">
        <v>6</v>
      </c>
      <c r="D45" s="480" t="s">
        <v>7</v>
      </c>
      <c r="E45" s="481" t="s">
        <v>8</v>
      </c>
      <c r="F45" s="227" t="s">
        <v>497</v>
      </c>
      <c r="G45" s="347" t="s">
        <v>472</v>
      </c>
      <c r="H45" s="348">
        <v>6348513</v>
      </c>
      <c r="I45" s="349">
        <v>53.8</v>
      </c>
      <c r="J45" s="348">
        <v>2592521</v>
      </c>
      <c r="K45" s="474">
        <v>94.6</v>
      </c>
    </row>
    <row r="46" spans="1:11" s="421" customFormat="1" ht="79.5" customHeight="1">
      <c r="A46" s="416"/>
      <c r="B46" s="482" t="s">
        <v>5</v>
      </c>
      <c r="C46" s="482" t="s">
        <v>6</v>
      </c>
      <c r="D46" s="483" t="s">
        <v>7</v>
      </c>
      <c r="E46" s="484" t="s">
        <v>8</v>
      </c>
      <c r="F46" s="227" t="s">
        <v>498</v>
      </c>
      <c r="G46" s="347" t="s">
        <v>472</v>
      </c>
      <c r="H46" s="348">
        <v>3018163</v>
      </c>
      <c r="I46" s="349">
        <v>91.2</v>
      </c>
      <c r="J46" s="348">
        <v>164966</v>
      </c>
      <c r="K46" s="485">
        <v>100</v>
      </c>
    </row>
    <row r="47" spans="1:12" s="421" customFormat="1" ht="80.25" customHeight="1">
      <c r="A47" s="416"/>
      <c r="B47" s="482" t="s">
        <v>5</v>
      </c>
      <c r="C47" s="482" t="s">
        <v>6</v>
      </c>
      <c r="D47" s="483" t="s">
        <v>7</v>
      </c>
      <c r="E47" s="484" t="s">
        <v>8</v>
      </c>
      <c r="F47" s="227" t="s">
        <v>499</v>
      </c>
      <c r="G47" s="347" t="s">
        <v>472</v>
      </c>
      <c r="H47" s="348">
        <v>2465336</v>
      </c>
      <c r="I47" s="349">
        <v>87.7</v>
      </c>
      <c r="J47" s="348">
        <v>230707</v>
      </c>
      <c r="K47" s="486">
        <v>100</v>
      </c>
      <c r="L47" s="479"/>
    </row>
    <row r="48" spans="1:12" s="421" customFormat="1" ht="79.5" customHeight="1">
      <c r="A48" s="416"/>
      <c r="B48" s="482" t="s">
        <v>5</v>
      </c>
      <c r="C48" s="482" t="s">
        <v>6</v>
      </c>
      <c r="D48" s="483" t="s">
        <v>7</v>
      </c>
      <c r="E48" s="487" t="s">
        <v>8</v>
      </c>
      <c r="F48" s="441" t="s">
        <v>500</v>
      </c>
      <c r="G48" s="488" t="s">
        <v>472</v>
      </c>
      <c r="H48" s="443">
        <v>31901282</v>
      </c>
      <c r="I48" s="444">
        <v>80.9</v>
      </c>
      <c r="J48" s="443">
        <v>6092757</v>
      </c>
      <c r="K48" s="489">
        <v>81.7</v>
      </c>
      <c r="L48" s="479"/>
    </row>
    <row r="49" spans="1:11" s="273" customFormat="1" ht="90" customHeight="1">
      <c r="A49" s="68"/>
      <c r="B49" s="222" t="s">
        <v>42</v>
      </c>
      <c r="C49" s="222" t="s">
        <v>77</v>
      </c>
      <c r="D49" s="223" t="s">
        <v>77</v>
      </c>
      <c r="E49" s="224" t="s">
        <v>550</v>
      </c>
      <c r="F49" s="490"/>
      <c r="G49" s="490"/>
      <c r="H49" s="491">
        <f>H50</f>
        <v>236403411</v>
      </c>
      <c r="I49" s="492"/>
      <c r="J49" s="491">
        <f>J50</f>
        <v>79544113</v>
      </c>
      <c r="K49" s="493"/>
    </row>
    <row r="50" spans="1:11" s="273" customFormat="1" ht="87" customHeight="1">
      <c r="A50" s="68"/>
      <c r="B50" s="222" t="s">
        <v>49</v>
      </c>
      <c r="C50" s="222"/>
      <c r="D50" s="223"/>
      <c r="E50" s="224" t="s">
        <v>551</v>
      </c>
      <c r="F50" s="490"/>
      <c r="G50" s="490"/>
      <c r="H50" s="491">
        <f>H60+H71+H77+H82+H89+H51+H58</f>
        <v>236403411</v>
      </c>
      <c r="I50" s="492"/>
      <c r="J50" s="491">
        <f>J60+J71+J77+J82+J89+J51+J58</f>
        <v>79544113</v>
      </c>
      <c r="K50" s="493"/>
    </row>
    <row r="51" spans="1:11" s="421" customFormat="1" ht="54.75" customHeight="1">
      <c r="A51" s="416"/>
      <c r="B51" s="422" t="s">
        <v>549</v>
      </c>
      <c r="C51" s="423" t="s">
        <v>80</v>
      </c>
      <c r="D51" s="423" t="s">
        <v>60</v>
      </c>
      <c r="E51" s="431" t="s">
        <v>223</v>
      </c>
      <c r="F51" s="432"/>
      <c r="G51" s="433"/>
      <c r="H51" s="340">
        <f>H52</f>
        <v>3065750</v>
      </c>
      <c r="I51" s="341"/>
      <c r="J51" s="340">
        <f>J52+J56</f>
        <v>548900</v>
      </c>
      <c r="K51" s="429"/>
    </row>
    <row r="52" spans="1:13" s="421" customFormat="1" ht="66.75" customHeight="1">
      <c r="A52" s="416"/>
      <c r="B52" s="482" t="s">
        <v>549</v>
      </c>
      <c r="C52" s="473" t="s">
        <v>80</v>
      </c>
      <c r="D52" s="473" t="s">
        <v>60</v>
      </c>
      <c r="E52" s="484" t="s">
        <v>223</v>
      </c>
      <c r="F52" s="548" t="s">
        <v>473</v>
      </c>
      <c r="G52" s="589">
        <v>2021</v>
      </c>
      <c r="H52" s="549">
        <v>3065750</v>
      </c>
      <c r="I52" s="494">
        <v>0</v>
      </c>
      <c r="J52" s="550">
        <f>49900+300000</f>
        <v>349900</v>
      </c>
      <c r="K52" s="551">
        <v>9.8</v>
      </c>
      <c r="M52" s="468" t="e">
        <f>J55+#REF!+J61+J63+J65+J67</f>
        <v>#REF!</v>
      </c>
    </row>
    <row r="53" spans="1:13" s="421" customFormat="1" ht="27" customHeight="1">
      <c r="A53" s="416"/>
      <c r="B53" s="558"/>
      <c r="C53" s="475"/>
      <c r="D53" s="475"/>
      <c r="E53" s="559"/>
      <c r="F53" s="437" t="s">
        <v>553</v>
      </c>
      <c r="G53" s="686"/>
      <c r="H53" s="687"/>
      <c r="I53" s="687"/>
      <c r="J53" s="687"/>
      <c r="K53" s="688"/>
      <c r="M53" s="468"/>
    </row>
    <row r="54" spans="1:11" s="421" customFormat="1" ht="28.5" customHeight="1">
      <c r="A54" s="416"/>
      <c r="B54" s="552"/>
      <c r="C54" s="553"/>
      <c r="D54" s="553"/>
      <c r="E54" s="554"/>
      <c r="F54" s="547" t="s">
        <v>554</v>
      </c>
      <c r="G54" s="590"/>
      <c r="H54" s="591"/>
      <c r="I54" s="555"/>
      <c r="J54" s="556">
        <v>49900</v>
      </c>
      <c r="K54" s="557"/>
    </row>
    <row r="55" spans="1:11" s="421" customFormat="1" ht="46.5" customHeight="1">
      <c r="A55" s="416"/>
      <c r="B55" s="482"/>
      <c r="C55" s="473"/>
      <c r="D55" s="473"/>
      <c r="E55" s="484"/>
      <c r="F55" s="755" t="s">
        <v>555</v>
      </c>
      <c r="G55" s="592"/>
      <c r="H55" s="348"/>
      <c r="I55" s="349"/>
      <c r="J55" s="579">
        <v>300000</v>
      </c>
      <c r="K55" s="551"/>
    </row>
    <row r="56" spans="1:11" s="421" customFormat="1" ht="78" customHeight="1">
      <c r="A56" s="416"/>
      <c r="B56" s="482" t="s">
        <v>549</v>
      </c>
      <c r="C56" s="473" t="s">
        <v>80</v>
      </c>
      <c r="D56" s="473" t="s">
        <v>60</v>
      </c>
      <c r="E56" s="484" t="s">
        <v>223</v>
      </c>
      <c r="F56" s="755" t="s">
        <v>571</v>
      </c>
      <c r="G56" s="593">
        <v>2021</v>
      </c>
      <c r="H56" s="348"/>
      <c r="I56" s="349"/>
      <c r="J56" s="348">
        <v>199000</v>
      </c>
      <c r="K56" s="581">
        <v>100</v>
      </c>
    </row>
    <row r="57" spans="1:11" s="421" customFormat="1" ht="57.75" customHeight="1">
      <c r="A57" s="416"/>
      <c r="B57" s="552"/>
      <c r="C57" s="553"/>
      <c r="D57" s="553"/>
      <c r="E57" s="554"/>
      <c r="F57" s="603" t="s">
        <v>474</v>
      </c>
      <c r="G57" s="590"/>
      <c r="H57" s="591"/>
      <c r="I57" s="555"/>
      <c r="J57" s="580">
        <v>199000</v>
      </c>
      <c r="K57" s="582"/>
    </row>
    <row r="58" spans="1:11" s="421" customFormat="1" ht="78" customHeight="1">
      <c r="A58" s="416"/>
      <c r="B58" s="584">
        <v>1517310</v>
      </c>
      <c r="C58" s="584">
        <v>7310</v>
      </c>
      <c r="D58" s="585" t="s">
        <v>221</v>
      </c>
      <c r="E58" s="586" t="s">
        <v>572</v>
      </c>
      <c r="F58" s="587"/>
      <c r="G58" s="593"/>
      <c r="H58" s="236">
        <f>H59</f>
        <v>766703</v>
      </c>
      <c r="I58" s="349"/>
      <c r="J58" s="236">
        <f>J59</f>
        <v>766703</v>
      </c>
      <c r="K58" s="582"/>
    </row>
    <row r="59" spans="1:11" s="421" customFormat="1" ht="78" customHeight="1">
      <c r="A59" s="416"/>
      <c r="B59" s="588">
        <v>1517310</v>
      </c>
      <c r="C59" s="596">
        <v>7310</v>
      </c>
      <c r="D59" s="594" t="s">
        <v>573</v>
      </c>
      <c r="E59" s="595" t="s">
        <v>572</v>
      </c>
      <c r="F59" s="583"/>
      <c r="G59" s="593">
        <v>2021</v>
      </c>
      <c r="H59" s="348">
        <v>766703</v>
      </c>
      <c r="I59" s="349"/>
      <c r="J59" s="348">
        <v>766703</v>
      </c>
      <c r="K59" s="582">
        <v>100</v>
      </c>
    </row>
    <row r="60" spans="1:11" s="273" customFormat="1" ht="43.5" customHeight="1">
      <c r="A60" s="68"/>
      <c r="B60" s="222" t="s">
        <v>248</v>
      </c>
      <c r="C60" s="222" t="s">
        <v>264</v>
      </c>
      <c r="D60" s="223" t="s">
        <v>221</v>
      </c>
      <c r="E60" s="224" t="s">
        <v>254</v>
      </c>
      <c r="F60" s="490"/>
      <c r="G60" s="490"/>
      <c r="H60" s="491">
        <f>SUM(H61:H70)</f>
        <v>69862910</v>
      </c>
      <c r="I60" s="492"/>
      <c r="J60" s="491">
        <f>SUM(J61:J70)-J63</f>
        <v>35582756</v>
      </c>
      <c r="K60" s="493"/>
    </row>
    <row r="61" spans="2:11" ht="86.25" customHeight="1">
      <c r="B61" s="225" t="s">
        <v>248</v>
      </c>
      <c r="C61" s="225" t="s">
        <v>264</v>
      </c>
      <c r="D61" s="226" t="s">
        <v>221</v>
      </c>
      <c r="E61" s="227" t="s">
        <v>254</v>
      </c>
      <c r="F61" s="759" t="s">
        <v>420</v>
      </c>
      <c r="G61" s="331" t="s">
        <v>414</v>
      </c>
      <c r="H61" s="332">
        <v>15043952</v>
      </c>
      <c r="I61" s="253"/>
      <c r="J61" s="332">
        <v>15043952</v>
      </c>
      <c r="K61" s="333">
        <v>100</v>
      </c>
    </row>
    <row r="62" spans="2:11" ht="108" customHeight="1">
      <c r="B62" s="225" t="s">
        <v>248</v>
      </c>
      <c r="C62" s="225" t="s">
        <v>264</v>
      </c>
      <c r="D62" s="226" t="s">
        <v>221</v>
      </c>
      <c r="E62" s="227" t="s">
        <v>254</v>
      </c>
      <c r="F62" s="759" t="s">
        <v>413</v>
      </c>
      <c r="G62" s="331" t="s">
        <v>414</v>
      </c>
      <c r="H62" s="332">
        <v>34874954</v>
      </c>
      <c r="I62" s="253">
        <v>2.3</v>
      </c>
      <c r="J62" s="332">
        <v>594800</v>
      </c>
      <c r="K62" s="333">
        <v>3.8</v>
      </c>
    </row>
    <row r="63" spans="2:11" ht="42.75" customHeight="1">
      <c r="B63" s="225"/>
      <c r="C63" s="225"/>
      <c r="D63" s="226"/>
      <c r="E63" s="227"/>
      <c r="F63" s="756" t="s">
        <v>501</v>
      </c>
      <c r="G63" s="331"/>
      <c r="H63" s="332"/>
      <c r="I63" s="253"/>
      <c r="J63" s="332">
        <v>500000</v>
      </c>
      <c r="K63" s="333"/>
    </row>
    <row r="64" spans="2:11" ht="62.25" customHeight="1">
      <c r="B64" s="225" t="s">
        <v>248</v>
      </c>
      <c r="C64" s="225" t="s">
        <v>264</v>
      </c>
      <c r="D64" s="226" t="s">
        <v>221</v>
      </c>
      <c r="E64" s="227" t="s">
        <v>254</v>
      </c>
      <c r="F64" s="759" t="s">
        <v>421</v>
      </c>
      <c r="G64" s="331">
        <v>2021</v>
      </c>
      <c r="H64" s="495">
        <v>450000</v>
      </c>
      <c r="I64" s="254"/>
      <c r="J64" s="495">
        <v>450000</v>
      </c>
      <c r="K64" s="334">
        <v>100</v>
      </c>
    </row>
    <row r="65" spans="2:11" ht="66.75" customHeight="1">
      <c r="B65" s="225" t="s">
        <v>248</v>
      </c>
      <c r="C65" s="225" t="s">
        <v>264</v>
      </c>
      <c r="D65" s="226" t="s">
        <v>221</v>
      </c>
      <c r="E65" s="227" t="s">
        <v>254</v>
      </c>
      <c r="F65" s="759" t="s">
        <v>422</v>
      </c>
      <c r="G65" s="331">
        <v>2021</v>
      </c>
      <c r="H65" s="332">
        <v>1700000</v>
      </c>
      <c r="I65" s="254"/>
      <c r="J65" s="495">
        <v>1700000</v>
      </c>
      <c r="K65" s="334">
        <v>100</v>
      </c>
    </row>
    <row r="66" spans="2:11" ht="87.75" customHeight="1">
      <c r="B66" s="225" t="s">
        <v>248</v>
      </c>
      <c r="C66" s="225" t="s">
        <v>264</v>
      </c>
      <c r="D66" s="226" t="s">
        <v>221</v>
      </c>
      <c r="E66" s="227" t="s">
        <v>254</v>
      </c>
      <c r="F66" s="759" t="s">
        <v>423</v>
      </c>
      <c r="G66" s="331">
        <v>2021</v>
      </c>
      <c r="H66" s="332">
        <v>1500000</v>
      </c>
      <c r="I66" s="254"/>
      <c r="J66" s="495">
        <v>1500000</v>
      </c>
      <c r="K66" s="334">
        <v>100</v>
      </c>
    </row>
    <row r="67" spans="2:11" ht="75" customHeight="1">
      <c r="B67" s="225" t="s">
        <v>248</v>
      </c>
      <c r="C67" s="225" t="s">
        <v>264</v>
      </c>
      <c r="D67" s="226" t="s">
        <v>221</v>
      </c>
      <c r="E67" s="227" t="s">
        <v>254</v>
      </c>
      <c r="F67" s="759" t="s">
        <v>424</v>
      </c>
      <c r="G67" s="331">
        <v>2021</v>
      </c>
      <c r="H67" s="332">
        <v>730000</v>
      </c>
      <c r="I67" s="254"/>
      <c r="J67" s="495">
        <v>730000</v>
      </c>
      <c r="K67" s="334">
        <v>100</v>
      </c>
    </row>
    <row r="68" spans="2:11" ht="111.75" customHeight="1">
      <c r="B68" s="225" t="s">
        <v>248</v>
      </c>
      <c r="C68" s="225" t="s">
        <v>264</v>
      </c>
      <c r="D68" s="226" t="s">
        <v>221</v>
      </c>
      <c r="E68" s="227" t="s">
        <v>254</v>
      </c>
      <c r="F68" s="759" t="s">
        <v>425</v>
      </c>
      <c r="G68" s="331">
        <v>2021</v>
      </c>
      <c r="H68" s="332">
        <v>3000000</v>
      </c>
      <c r="I68" s="254"/>
      <c r="J68" s="495">
        <v>3000000</v>
      </c>
      <c r="K68" s="334">
        <v>100</v>
      </c>
    </row>
    <row r="69" spans="2:11" ht="75" customHeight="1">
      <c r="B69" s="225" t="s">
        <v>248</v>
      </c>
      <c r="C69" s="225" t="s">
        <v>264</v>
      </c>
      <c r="D69" s="226" t="s">
        <v>221</v>
      </c>
      <c r="E69" s="227" t="s">
        <v>254</v>
      </c>
      <c r="F69" s="759" t="s">
        <v>426</v>
      </c>
      <c r="G69" s="331">
        <v>2021</v>
      </c>
      <c r="H69" s="332">
        <v>3000000</v>
      </c>
      <c r="I69" s="254"/>
      <c r="J69" s="495">
        <v>3000000</v>
      </c>
      <c r="K69" s="334">
        <v>100</v>
      </c>
    </row>
    <row r="70" spans="2:11" ht="93.75" customHeight="1">
      <c r="B70" s="225" t="s">
        <v>248</v>
      </c>
      <c r="C70" s="496" t="s">
        <v>264</v>
      </c>
      <c r="D70" s="226" t="s">
        <v>221</v>
      </c>
      <c r="E70" s="497" t="s">
        <v>254</v>
      </c>
      <c r="F70" s="759" t="s">
        <v>427</v>
      </c>
      <c r="G70" s="331">
        <v>2021</v>
      </c>
      <c r="H70" s="332">
        <v>9564004</v>
      </c>
      <c r="I70" s="254"/>
      <c r="J70" s="228">
        <v>9564004</v>
      </c>
      <c r="K70" s="334">
        <v>100</v>
      </c>
    </row>
    <row r="71" spans="1:11" s="273" customFormat="1" ht="37.5">
      <c r="A71" s="68"/>
      <c r="B71" s="222" t="s">
        <v>249</v>
      </c>
      <c r="C71" s="222" t="s">
        <v>265</v>
      </c>
      <c r="D71" s="223" t="s">
        <v>221</v>
      </c>
      <c r="E71" s="224" t="s">
        <v>266</v>
      </c>
      <c r="F71" s="490"/>
      <c r="G71" s="492"/>
      <c r="H71" s="491">
        <f>H72+H73+H74+H75+H76</f>
        <v>20647316</v>
      </c>
      <c r="I71" s="492"/>
      <c r="J71" s="491">
        <f>J72+J73+J74+J75+J76</f>
        <v>8634794</v>
      </c>
      <c r="K71" s="493"/>
    </row>
    <row r="72" spans="2:14" ht="65.25" customHeight="1">
      <c r="B72" s="225" t="s">
        <v>249</v>
      </c>
      <c r="C72" s="225" t="s">
        <v>265</v>
      </c>
      <c r="D72" s="226" t="s">
        <v>221</v>
      </c>
      <c r="E72" s="227" t="s">
        <v>266</v>
      </c>
      <c r="F72" s="759" t="s">
        <v>428</v>
      </c>
      <c r="G72" s="498" t="s">
        <v>414</v>
      </c>
      <c r="H72" s="241">
        <v>694174</v>
      </c>
      <c r="I72" s="499">
        <v>6.8</v>
      </c>
      <c r="J72" s="241">
        <v>647074</v>
      </c>
      <c r="K72" s="500">
        <v>100</v>
      </c>
      <c r="N72" s="501">
        <f>J63+N80</f>
        <v>10000000</v>
      </c>
    </row>
    <row r="73" spans="2:11" ht="68.25" customHeight="1">
      <c r="B73" s="225" t="s">
        <v>249</v>
      </c>
      <c r="C73" s="225" t="s">
        <v>265</v>
      </c>
      <c r="D73" s="226" t="s">
        <v>221</v>
      </c>
      <c r="E73" s="227" t="s">
        <v>266</v>
      </c>
      <c r="F73" s="759" t="s">
        <v>429</v>
      </c>
      <c r="G73" s="498" t="s">
        <v>414</v>
      </c>
      <c r="H73" s="241">
        <v>1135536</v>
      </c>
      <c r="I73" s="499">
        <v>4.2</v>
      </c>
      <c r="J73" s="228">
        <v>1087836</v>
      </c>
      <c r="K73" s="500">
        <v>100</v>
      </c>
    </row>
    <row r="74" spans="2:11" ht="94.5" customHeight="1">
      <c r="B74" s="225" t="s">
        <v>249</v>
      </c>
      <c r="C74" s="225" t="s">
        <v>265</v>
      </c>
      <c r="D74" s="226" t="s">
        <v>221</v>
      </c>
      <c r="E74" s="227" t="s">
        <v>266</v>
      </c>
      <c r="F74" s="759" t="s">
        <v>430</v>
      </c>
      <c r="G74" s="498">
        <v>2021</v>
      </c>
      <c r="H74" s="241">
        <v>500000</v>
      </c>
      <c r="I74" s="499"/>
      <c r="J74" s="241">
        <v>500000</v>
      </c>
      <c r="K74" s="500">
        <v>100</v>
      </c>
    </row>
    <row r="75" spans="2:11" ht="93" customHeight="1">
      <c r="B75" s="225" t="s">
        <v>249</v>
      </c>
      <c r="C75" s="225" t="s">
        <v>265</v>
      </c>
      <c r="D75" s="226" t="s">
        <v>221</v>
      </c>
      <c r="E75" s="227" t="s">
        <v>266</v>
      </c>
      <c r="F75" s="759" t="s">
        <v>431</v>
      </c>
      <c r="G75" s="498">
        <v>2021</v>
      </c>
      <c r="H75" s="241">
        <v>500000</v>
      </c>
      <c r="I75" s="499"/>
      <c r="J75" s="241">
        <v>500000</v>
      </c>
      <c r="K75" s="500">
        <v>100</v>
      </c>
    </row>
    <row r="76" spans="2:11" ht="120.75" customHeight="1">
      <c r="B76" s="225" t="s">
        <v>249</v>
      </c>
      <c r="C76" s="225" t="s">
        <v>265</v>
      </c>
      <c r="D76" s="226" t="s">
        <v>221</v>
      </c>
      <c r="E76" s="227" t="s">
        <v>266</v>
      </c>
      <c r="F76" s="759" t="s">
        <v>432</v>
      </c>
      <c r="G76" s="498" t="s">
        <v>414</v>
      </c>
      <c r="H76" s="241">
        <v>17817606</v>
      </c>
      <c r="I76" s="499">
        <v>66.9</v>
      </c>
      <c r="J76" s="241">
        <v>5899884</v>
      </c>
      <c r="K76" s="500">
        <v>100</v>
      </c>
    </row>
    <row r="77" spans="1:11" s="273" customFormat="1" ht="42" customHeight="1">
      <c r="A77" s="68"/>
      <c r="B77" s="222" t="s">
        <v>251</v>
      </c>
      <c r="C77" s="222" t="s">
        <v>250</v>
      </c>
      <c r="D77" s="223" t="s">
        <v>221</v>
      </c>
      <c r="E77" s="229" t="s">
        <v>0</v>
      </c>
      <c r="F77" s="224"/>
      <c r="G77" s="336"/>
      <c r="H77" s="491">
        <f>H78+H79</f>
        <v>2500000</v>
      </c>
      <c r="I77" s="492"/>
      <c r="J77" s="491">
        <f>SUM(J78:J80)</f>
        <v>2600000</v>
      </c>
      <c r="K77" s="493"/>
    </row>
    <row r="78" spans="2:11" ht="74.25" customHeight="1">
      <c r="B78" s="225" t="s">
        <v>251</v>
      </c>
      <c r="C78" s="225" t="s">
        <v>250</v>
      </c>
      <c r="D78" s="226" t="s">
        <v>221</v>
      </c>
      <c r="E78" s="230" t="s">
        <v>0</v>
      </c>
      <c r="F78" s="760" t="s">
        <v>433</v>
      </c>
      <c r="G78" s="502">
        <v>2021</v>
      </c>
      <c r="H78" s="231">
        <v>1600000</v>
      </c>
      <c r="I78" s="503"/>
      <c r="J78" s="231">
        <v>1600000</v>
      </c>
      <c r="K78" s="335">
        <v>100</v>
      </c>
    </row>
    <row r="79" spans="2:11" ht="74.25" customHeight="1">
      <c r="B79" s="225" t="s">
        <v>251</v>
      </c>
      <c r="C79" s="225" t="s">
        <v>250</v>
      </c>
      <c r="D79" s="226" t="s">
        <v>221</v>
      </c>
      <c r="E79" s="230" t="s">
        <v>0</v>
      </c>
      <c r="F79" s="760" t="s">
        <v>434</v>
      </c>
      <c r="G79" s="502">
        <v>2021</v>
      </c>
      <c r="H79" s="231">
        <v>900000</v>
      </c>
      <c r="I79" s="503"/>
      <c r="J79" s="231">
        <v>900000</v>
      </c>
      <c r="K79" s="335">
        <v>100</v>
      </c>
    </row>
    <row r="80" spans="2:14" ht="128.25" customHeight="1">
      <c r="B80" s="225" t="s">
        <v>251</v>
      </c>
      <c r="C80" s="225" t="s">
        <v>250</v>
      </c>
      <c r="D80" s="226" t="s">
        <v>221</v>
      </c>
      <c r="E80" s="230" t="s">
        <v>0</v>
      </c>
      <c r="F80" s="759" t="s">
        <v>435</v>
      </c>
      <c r="G80" s="502"/>
      <c r="H80" s="231"/>
      <c r="I80" s="503"/>
      <c r="J80" s="231">
        <v>100000</v>
      </c>
      <c r="K80" s="335"/>
      <c r="N80" s="504">
        <f>J84+J86+J88</f>
        <v>9500000</v>
      </c>
    </row>
    <row r="81" spans="2:14" ht="37.5">
      <c r="B81" s="225"/>
      <c r="C81" s="225"/>
      <c r="D81" s="226"/>
      <c r="E81" s="230"/>
      <c r="F81" s="509" t="s">
        <v>474</v>
      </c>
      <c r="G81" s="502"/>
      <c r="H81" s="231"/>
      <c r="I81" s="503"/>
      <c r="J81" s="231">
        <v>100000</v>
      </c>
      <c r="K81" s="335"/>
      <c r="N81" s="504"/>
    </row>
    <row r="82" spans="1:11" s="273" customFormat="1" ht="56.25">
      <c r="A82" s="68"/>
      <c r="B82" s="222" t="s">
        <v>2</v>
      </c>
      <c r="C82" s="222" t="s">
        <v>3</v>
      </c>
      <c r="D82" s="223" t="s">
        <v>221</v>
      </c>
      <c r="E82" s="229" t="s">
        <v>1</v>
      </c>
      <c r="F82" s="224"/>
      <c r="G82" s="336"/>
      <c r="H82" s="491">
        <f>H83+H85+H87</f>
        <v>81848107</v>
      </c>
      <c r="I82" s="492"/>
      <c r="J82" s="491">
        <f>J83+J85+J87</f>
        <v>9500000</v>
      </c>
      <c r="K82" s="493"/>
    </row>
    <row r="83" spans="2:11" ht="69.75" customHeight="1">
      <c r="B83" s="225" t="s">
        <v>2</v>
      </c>
      <c r="C83" s="225" t="s">
        <v>3</v>
      </c>
      <c r="D83" s="226" t="s">
        <v>221</v>
      </c>
      <c r="E83" s="230" t="s">
        <v>1</v>
      </c>
      <c r="F83" s="756" t="s">
        <v>415</v>
      </c>
      <c r="G83" s="241" t="s">
        <v>414</v>
      </c>
      <c r="H83" s="241">
        <v>20031212</v>
      </c>
      <c r="I83" s="499">
        <v>82</v>
      </c>
      <c r="J83" s="241">
        <v>2500000</v>
      </c>
      <c r="K83" s="500"/>
    </row>
    <row r="84" spans="2:11" ht="52.5" customHeight="1">
      <c r="B84" s="225"/>
      <c r="C84" s="225"/>
      <c r="D84" s="226"/>
      <c r="E84" s="230"/>
      <c r="F84" s="756" t="s">
        <v>501</v>
      </c>
      <c r="G84" s="241"/>
      <c r="H84" s="241"/>
      <c r="I84" s="499"/>
      <c r="J84" s="241">
        <v>2500000</v>
      </c>
      <c r="K84" s="500"/>
    </row>
    <row r="85" spans="2:11" ht="63.75" customHeight="1">
      <c r="B85" s="225" t="s">
        <v>2</v>
      </c>
      <c r="C85" s="225" t="s">
        <v>3</v>
      </c>
      <c r="D85" s="226" t="s">
        <v>221</v>
      </c>
      <c r="E85" s="230" t="s">
        <v>1</v>
      </c>
      <c r="F85" s="756" t="s">
        <v>416</v>
      </c>
      <c r="G85" s="241" t="s">
        <v>418</v>
      </c>
      <c r="H85" s="241">
        <v>38271930</v>
      </c>
      <c r="I85" s="499">
        <v>91</v>
      </c>
      <c r="J85" s="241">
        <v>2000000</v>
      </c>
      <c r="K85" s="500"/>
    </row>
    <row r="86" spans="2:11" ht="46.5" customHeight="1">
      <c r="B86" s="225"/>
      <c r="C86" s="225"/>
      <c r="D86" s="226"/>
      <c r="E86" s="230"/>
      <c r="F86" s="756" t="s">
        <v>501</v>
      </c>
      <c r="G86" s="241"/>
      <c r="H86" s="241"/>
      <c r="I86" s="499"/>
      <c r="J86" s="241">
        <v>2000000</v>
      </c>
      <c r="K86" s="500"/>
    </row>
    <row r="87" spans="2:11" ht="87.75" customHeight="1">
      <c r="B87" s="225" t="s">
        <v>2</v>
      </c>
      <c r="C87" s="225" t="s">
        <v>3</v>
      </c>
      <c r="D87" s="226" t="s">
        <v>221</v>
      </c>
      <c r="E87" s="230" t="s">
        <v>1</v>
      </c>
      <c r="F87" s="756" t="s">
        <v>417</v>
      </c>
      <c r="G87" s="241" t="s">
        <v>414</v>
      </c>
      <c r="H87" s="241">
        <v>23544965</v>
      </c>
      <c r="I87" s="499">
        <v>78.8</v>
      </c>
      <c r="J87" s="241">
        <v>5000000</v>
      </c>
      <c r="K87" s="500"/>
    </row>
    <row r="88" spans="2:11" ht="52.5" customHeight="1">
      <c r="B88" s="225"/>
      <c r="C88" s="225"/>
      <c r="D88" s="226"/>
      <c r="E88" s="230"/>
      <c r="F88" s="756" t="s">
        <v>501</v>
      </c>
      <c r="G88" s="241"/>
      <c r="H88" s="241"/>
      <c r="I88" s="499"/>
      <c r="J88" s="241">
        <v>5000000</v>
      </c>
      <c r="K88" s="500"/>
    </row>
    <row r="89" spans="1:11" s="273" customFormat="1" ht="37.5">
      <c r="A89" s="68"/>
      <c r="B89" s="222" t="s">
        <v>253</v>
      </c>
      <c r="C89" s="223" t="s">
        <v>252</v>
      </c>
      <c r="D89" s="232" t="s">
        <v>221</v>
      </c>
      <c r="E89" s="233" t="s">
        <v>548</v>
      </c>
      <c r="F89" s="224"/>
      <c r="G89" s="336"/>
      <c r="H89" s="491">
        <f>SUM(H90:H137)</f>
        <v>57712625</v>
      </c>
      <c r="I89" s="492"/>
      <c r="J89" s="491">
        <f>J90+J92+J94+J96+J98+J100+J102+J104+J106+J108+J110+J112+J114+J116+J118+J120+J136+J91+J122+J124+J126+J128+J130+J132+J134</f>
        <v>21910960</v>
      </c>
      <c r="K89" s="493"/>
    </row>
    <row r="90" spans="2:11" ht="69" customHeight="1">
      <c r="B90" s="234" t="s">
        <v>253</v>
      </c>
      <c r="C90" s="235" t="s">
        <v>252</v>
      </c>
      <c r="D90" s="235" t="s">
        <v>221</v>
      </c>
      <c r="E90" s="402" t="s">
        <v>548</v>
      </c>
      <c r="F90" s="403" t="s">
        <v>437</v>
      </c>
      <c r="G90" s="605" t="s">
        <v>414</v>
      </c>
      <c r="H90" s="606">
        <v>39324208</v>
      </c>
      <c r="I90" s="254">
        <v>87.3</v>
      </c>
      <c r="J90" s="228">
        <v>5000000</v>
      </c>
      <c r="K90" s="334">
        <v>100</v>
      </c>
    </row>
    <row r="91" spans="2:11" ht="96.75" customHeight="1">
      <c r="B91" s="234" t="s">
        <v>253</v>
      </c>
      <c r="C91" s="235" t="s">
        <v>252</v>
      </c>
      <c r="D91" s="235" t="s">
        <v>221</v>
      </c>
      <c r="E91" s="402" t="s">
        <v>548</v>
      </c>
      <c r="F91" s="403" t="s">
        <v>436</v>
      </c>
      <c r="G91" s="498" t="s">
        <v>414</v>
      </c>
      <c r="H91" s="241">
        <v>3788417</v>
      </c>
      <c r="I91" s="499">
        <v>55.1</v>
      </c>
      <c r="J91" s="241">
        <v>1700000</v>
      </c>
      <c r="K91" s="500">
        <v>100</v>
      </c>
    </row>
    <row r="92" spans="1:11" s="421" customFormat="1" ht="38.25" customHeight="1">
      <c r="A92" s="416"/>
      <c r="B92" s="234" t="s">
        <v>253</v>
      </c>
      <c r="C92" s="435" t="s">
        <v>252</v>
      </c>
      <c r="D92" s="469" t="s">
        <v>221</v>
      </c>
      <c r="E92" s="252" t="s">
        <v>403</v>
      </c>
      <c r="F92" s="505" t="s">
        <v>482</v>
      </c>
      <c r="G92" s="471">
        <v>2021</v>
      </c>
      <c r="H92" s="348">
        <v>660000</v>
      </c>
      <c r="I92" s="472">
        <v>0</v>
      </c>
      <c r="J92" s="459">
        <v>660000</v>
      </c>
      <c r="K92" s="329">
        <v>100</v>
      </c>
    </row>
    <row r="93" spans="1:11" s="421" customFormat="1" ht="29.25" customHeight="1">
      <c r="A93" s="416"/>
      <c r="B93" s="434"/>
      <c r="C93" s="435"/>
      <c r="D93" s="435"/>
      <c r="E93" s="506"/>
      <c r="F93" s="507" t="s">
        <v>474</v>
      </c>
      <c r="G93" s="508"/>
      <c r="H93" s="443"/>
      <c r="I93" s="467"/>
      <c r="J93" s="459">
        <v>49900</v>
      </c>
      <c r="K93" s="329"/>
    </row>
    <row r="94" spans="1:11" s="421" customFormat="1" ht="48" customHeight="1">
      <c r="A94" s="416"/>
      <c r="B94" s="234" t="s">
        <v>253</v>
      </c>
      <c r="C94" s="435" t="s">
        <v>252</v>
      </c>
      <c r="D94" s="435" t="s">
        <v>221</v>
      </c>
      <c r="E94" s="252" t="s">
        <v>403</v>
      </c>
      <c r="F94" s="464" t="s">
        <v>483</v>
      </c>
      <c r="G94" s="458">
        <v>2021</v>
      </c>
      <c r="H94" s="459">
        <v>2500000</v>
      </c>
      <c r="I94" s="467">
        <v>0</v>
      </c>
      <c r="J94" s="459">
        <v>2500000</v>
      </c>
      <c r="K94" s="329">
        <v>100</v>
      </c>
    </row>
    <row r="95" spans="1:11" s="421" customFormat="1" ht="41.25" customHeight="1">
      <c r="A95" s="416"/>
      <c r="B95" s="434"/>
      <c r="C95" s="435"/>
      <c r="D95" s="435"/>
      <c r="E95" s="466"/>
      <c r="F95" s="509" t="s">
        <v>474</v>
      </c>
      <c r="G95" s="458"/>
      <c r="H95" s="459"/>
      <c r="I95" s="467"/>
      <c r="J95" s="459">
        <v>49900</v>
      </c>
      <c r="K95" s="329"/>
    </row>
    <row r="96" spans="1:11" s="421" customFormat="1" ht="39.75" customHeight="1">
      <c r="A96" s="416"/>
      <c r="B96" s="234" t="s">
        <v>253</v>
      </c>
      <c r="C96" s="435" t="s">
        <v>252</v>
      </c>
      <c r="D96" s="435" t="s">
        <v>221</v>
      </c>
      <c r="E96" s="252" t="s">
        <v>403</v>
      </c>
      <c r="F96" s="464" t="s">
        <v>484</v>
      </c>
      <c r="G96" s="458">
        <v>2021</v>
      </c>
      <c r="H96" s="459">
        <v>700000</v>
      </c>
      <c r="I96" s="467">
        <v>0</v>
      </c>
      <c r="J96" s="459">
        <v>700000</v>
      </c>
      <c r="K96" s="329">
        <v>100</v>
      </c>
    </row>
    <row r="97" spans="1:11" s="421" customFormat="1" ht="37.5">
      <c r="A97" s="416"/>
      <c r="B97" s="434"/>
      <c r="C97" s="435"/>
      <c r="D97" s="435"/>
      <c r="E97" s="466"/>
      <c r="F97" s="509" t="s">
        <v>474</v>
      </c>
      <c r="G97" s="458"/>
      <c r="H97" s="459"/>
      <c r="I97" s="467"/>
      <c r="J97" s="459">
        <v>49900</v>
      </c>
      <c r="K97" s="329"/>
    </row>
    <row r="98" spans="1:11" s="421" customFormat="1" ht="45.75" customHeight="1">
      <c r="A98" s="416"/>
      <c r="B98" s="234" t="s">
        <v>253</v>
      </c>
      <c r="C98" s="435" t="s">
        <v>252</v>
      </c>
      <c r="D98" s="435" t="s">
        <v>221</v>
      </c>
      <c r="E98" s="252" t="s">
        <v>403</v>
      </c>
      <c r="F98" s="464" t="s">
        <v>485</v>
      </c>
      <c r="G98" s="458">
        <v>2021</v>
      </c>
      <c r="H98" s="459">
        <v>949000</v>
      </c>
      <c r="I98" s="467">
        <v>0</v>
      </c>
      <c r="J98" s="459">
        <v>949000</v>
      </c>
      <c r="K98" s="329">
        <v>100</v>
      </c>
    </row>
    <row r="99" spans="1:11" s="421" customFormat="1" ht="39.75" customHeight="1">
      <c r="A99" s="416"/>
      <c r="B99" s="434"/>
      <c r="C99" s="435"/>
      <c r="D99" s="435"/>
      <c r="E99" s="466"/>
      <c r="F99" s="509" t="s">
        <v>474</v>
      </c>
      <c r="G99" s="458"/>
      <c r="H99" s="459"/>
      <c r="I99" s="467"/>
      <c r="J99" s="459">
        <v>49900</v>
      </c>
      <c r="K99" s="329"/>
    </row>
    <row r="100" spans="1:11" s="421" customFormat="1" ht="61.5" customHeight="1">
      <c r="A100" s="416"/>
      <c r="B100" s="234" t="s">
        <v>253</v>
      </c>
      <c r="C100" s="435" t="s">
        <v>252</v>
      </c>
      <c r="D100" s="435" t="s">
        <v>221</v>
      </c>
      <c r="E100" s="252" t="s">
        <v>403</v>
      </c>
      <c r="F100" s="464" t="s">
        <v>486</v>
      </c>
      <c r="G100" s="458">
        <v>2021</v>
      </c>
      <c r="H100" s="459">
        <v>1009324</v>
      </c>
      <c r="I100" s="467">
        <v>0</v>
      </c>
      <c r="J100" s="459">
        <v>1009324</v>
      </c>
      <c r="K100" s="329">
        <v>100</v>
      </c>
    </row>
    <row r="101" spans="1:11" s="421" customFormat="1" ht="32.25" customHeight="1">
      <c r="A101" s="416"/>
      <c r="B101" s="434"/>
      <c r="C101" s="435"/>
      <c r="D101" s="435"/>
      <c r="E101" s="466"/>
      <c r="F101" s="509" t="s">
        <v>474</v>
      </c>
      <c r="G101" s="458"/>
      <c r="H101" s="459"/>
      <c r="I101" s="467"/>
      <c r="J101" s="459">
        <v>49900</v>
      </c>
      <c r="K101" s="329"/>
    </row>
    <row r="102" spans="1:11" s="421" customFormat="1" ht="49.5" customHeight="1">
      <c r="A102" s="416"/>
      <c r="B102" s="234" t="s">
        <v>253</v>
      </c>
      <c r="C102" s="435" t="s">
        <v>252</v>
      </c>
      <c r="D102" s="435" t="s">
        <v>221</v>
      </c>
      <c r="E102" s="252" t="s">
        <v>403</v>
      </c>
      <c r="F102" s="510" t="s">
        <v>487</v>
      </c>
      <c r="G102" s="458">
        <v>2021</v>
      </c>
      <c r="H102" s="459">
        <v>303200</v>
      </c>
      <c r="I102" s="467">
        <v>0</v>
      </c>
      <c r="J102" s="459">
        <v>303200</v>
      </c>
      <c r="K102" s="329">
        <v>100</v>
      </c>
    </row>
    <row r="103" spans="1:11" s="421" customFormat="1" ht="33.75" customHeight="1">
      <c r="A103" s="416"/>
      <c r="B103" s="434"/>
      <c r="C103" s="435"/>
      <c r="D103" s="435"/>
      <c r="E103" s="466"/>
      <c r="F103" s="470" t="s">
        <v>474</v>
      </c>
      <c r="G103" s="511"/>
      <c r="H103" s="459"/>
      <c r="I103" s="467"/>
      <c r="J103" s="451">
        <v>49900</v>
      </c>
      <c r="K103" s="329"/>
    </row>
    <row r="104" spans="1:12" s="421" customFormat="1" ht="47.25" customHeight="1">
      <c r="A104" s="416"/>
      <c r="B104" s="234" t="s">
        <v>253</v>
      </c>
      <c r="C104" s="435" t="s">
        <v>252</v>
      </c>
      <c r="D104" s="435" t="s">
        <v>221</v>
      </c>
      <c r="E104" s="252" t="s">
        <v>403</v>
      </c>
      <c r="F104" s="464" t="s">
        <v>488</v>
      </c>
      <c r="G104" s="511">
        <v>2021</v>
      </c>
      <c r="H104" s="459">
        <v>439640</v>
      </c>
      <c r="I104" s="467">
        <v>0</v>
      </c>
      <c r="J104" s="459">
        <v>439640</v>
      </c>
      <c r="K104" s="329">
        <v>100</v>
      </c>
      <c r="L104" s="421" t="e">
        <f>#REF!-J104</f>
        <v>#REF!</v>
      </c>
    </row>
    <row r="105" spans="1:11" s="421" customFormat="1" ht="31.5" customHeight="1">
      <c r="A105" s="416"/>
      <c r="B105" s="434"/>
      <c r="C105" s="435"/>
      <c r="D105" s="435"/>
      <c r="E105" s="466"/>
      <c r="F105" s="470" t="s">
        <v>474</v>
      </c>
      <c r="G105" s="511"/>
      <c r="H105" s="459"/>
      <c r="I105" s="467"/>
      <c r="J105" s="451">
        <v>49900</v>
      </c>
      <c r="K105" s="329"/>
    </row>
    <row r="106" spans="1:11" s="421" customFormat="1" ht="52.5" customHeight="1">
      <c r="A106" s="416"/>
      <c r="B106" s="234" t="s">
        <v>253</v>
      </c>
      <c r="C106" s="435" t="s">
        <v>252</v>
      </c>
      <c r="D106" s="435" t="s">
        <v>221</v>
      </c>
      <c r="E106" s="252" t="s">
        <v>403</v>
      </c>
      <c r="F106" s="464" t="s">
        <v>489</v>
      </c>
      <c r="G106" s="511">
        <v>2021</v>
      </c>
      <c r="H106" s="459">
        <v>985000</v>
      </c>
      <c r="I106" s="467">
        <v>0</v>
      </c>
      <c r="J106" s="459">
        <v>985000</v>
      </c>
      <c r="K106" s="329">
        <v>100</v>
      </c>
    </row>
    <row r="107" spans="1:11" s="421" customFormat="1" ht="39.75" customHeight="1">
      <c r="A107" s="416"/>
      <c r="B107" s="434"/>
      <c r="C107" s="435"/>
      <c r="D107" s="435"/>
      <c r="E107" s="466"/>
      <c r="F107" s="470" t="s">
        <v>474</v>
      </c>
      <c r="G107" s="458"/>
      <c r="H107" s="459"/>
      <c r="I107" s="467"/>
      <c r="J107" s="451">
        <v>49900</v>
      </c>
      <c r="K107" s="329"/>
    </row>
    <row r="108" spans="1:11" s="421" customFormat="1" ht="61.5" customHeight="1">
      <c r="A108" s="416"/>
      <c r="B108" s="234" t="s">
        <v>253</v>
      </c>
      <c r="C108" s="435" t="s">
        <v>252</v>
      </c>
      <c r="D108" s="435" t="s">
        <v>221</v>
      </c>
      <c r="E108" s="252" t="s">
        <v>403</v>
      </c>
      <c r="F108" s="464" t="s">
        <v>490</v>
      </c>
      <c r="G108" s="511">
        <v>2021</v>
      </c>
      <c r="H108" s="459">
        <v>1476000</v>
      </c>
      <c r="I108" s="467">
        <v>0</v>
      </c>
      <c r="J108" s="459">
        <v>1476000</v>
      </c>
      <c r="K108" s="329">
        <v>100</v>
      </c>
    </row>
    <row r="109" spans="1:11" s="421" customFormat="1" ht="33.75" customHeight="1">
      <c r="A109" s="416"/>
      <c r="B109" s="434"/>
      <c r="C109" s="435"/>
      <c r="D109" s="435"/>
      <c r="E109" s="252"/>
      <c r="F109" s="470" t="s">
        <v>474</v>
      </c>
      <c r="G109" s="511"/>
      <c r="H109" s="459"/>
      <c r="I109" s="467"/>
      <c r="J109" s="451">
        <v>49900</v>
      </c>
      <c r="K109" s="329"/>
    </row>
    <row r="110" spans="1:11" s="421" customFormat="1" ht="40.5" customHeight="1">
      <c r="A110" s="416"/>
      <c r="B110" s="234" t="s">
        <v>253</v>
      </c>
      <c r="C110" s="435" t="s">
        <v>252</v>
      </c>
      <c r="D110" s="435" t="s">
        <v>221</v>
      </c>
      <c r="E110" s="252" t="s">
        <v>403</v>
      </c>
      <c r="F110" s="574" t="s">
        <v>491</v>
      </c>
      <c r="G110" s="512" t="s">
        <v>492</v>
      </c>
      <c r="H110" s="459">
        <v>1159880</v>
      </c>
      <c r="I110" s="467">
        <v>0</v>
      </c>
      <c r="J110" s="459">
        <v>1159880</v>
      </c>
      <c r="K110" s="329">
        <v>100</v>
      </c>
    </row>
    <row r="111" spans="1:11" s="421" customFormat="1" ht="43.5" customHeight="1">
      <c r="A111" s="416"/>
      <c r="B111" s="434"/>
      <c r="C111" s="435"/>
      <c r="D111" s="435"/>
      <c r="E111" s="252"/>
      <c r="F111" s="470" t="s">
        <v>474</v>
      </c>
      <c r="G111" s="511"/>
      <c r="H111" s="459"/>
      <c r="I111" s="467"/>
      <c r="J111" s="451">
        <v>49900</v>
      </c>
      <c r="K111" s="329"/>
    </row>
    <row r="112" spans="1:11" s="421" customFormat="1" ht="59.25" customHeight="1">
      <c r="A112" s="416"/>
      <c r="B112" s="234" t="s">
        <v>253</v>
      </c>
      <c r="C112" s="435" t="s">
        <v>252</v>
      </c>
      <c r="D112" s="435" t="s">
        <v>221</v>
      </c>
      <c r="E112" s="252" t="s">
        <v>403</v>
      </c>
      <c r="F112" s="464" t="s">
        <v>563</v>
      </c>
      <c r="G112" s="511">
        <v>2021</v>
      </c>
      <c r="H112" s="459">
        <v>801749</v>
      </c>
      <c r="I112" s="467">
        <v>0</v>
      </c>
      <c r="J112" s="459">
        <v>801749</v>
      </c>
      <c r="K112" s="329">
        <v>100</v>
      </c>
    </row>
    <row r="113" spans="1:11" s="421" customFormat="1" ht="34.5" customHeight="1">
      <c r="A113" s="416"/>
      <c r="B113" s="434"/>
      <c r="C113" s="435"/>
      <c r="D113" s="435"/>
      <c r="E113" s="252"/>
      <c r="F113" s="470" t="s">
        <v>474</v>
      </c>
      <c r="G113" s="511"/>
      <c r="H113" s="459"/>
      <c r="I113" s="467"/>
      <c r="J113" s="451">
        <v>49900</v>
      </c>
      <c r="K113" s="329"/>
    </row>
    <row r="114" spans="1:11" s="421" customFormat="1" ht="42.75" customHeight="1">
      <c r="A114" s="416"/>
      <c r="B114" s="234" t="s">
        <v>253</v>
      </c>
      <c r="C114" s="435" t="s">
        <v>252</v>
      </c>
      <c r="D114" s="435" t="s">
        <v>221</v>
      </c>
      <c r="E114" s="252" t="s">
        <v>403</v>
      </c>
      <c r="F114" s="513" t="s">
        <v>493</v>
      </c>
      <c r="G114" s="511">
        <v>2021</v>
      </c>
      <c r="H114" s="459">
        <v>356107</v>
      </c>
      <c r="I114" s="467">
        <v>0</v>
      </c>
      <c r="J114" s="459">
        <v>356107</v>
      </c>
      <c r="K114" s="329">
        <v>100</v>
      </c>
    </row>
    <row r="115" spans="1:11" s="421" customFormat="1" ht="44.25" customHeight="1">
      <c r="A115" s="416"/>
      <c r="B115" s="434"/>
      <c r="C115" s="435"/>
      <c r="D115" s="435"/>
      <c r="E115" s="252"/>
      <c r="F115" s="470" t="s">
        <v>474</v>
      </c>
      <c r="G115" s="471"/>
      <c r="H115" s="514"/>
      <c r="I115" s="467"/>
      <c r="J115" s="451">
        <v>49900</v>
      </c>
      <c r="K115" s="329"/>
    </row>
    <row r="116" spans="1:11" s="421" customFormat="1" ht="54" customHeight="1">
      <c r="A116" s="416"/>
      <c r="B116" s="234" t="s">
        <v>253</v>
      </c>
      <c r="C116" s="435" t="s">
        <v>252</v>
      </c>
      <c r="D116" s="435" t="s">
        <v>221</v>
      </c>
      <c r="E116" s="252" t="s">
        <v>403</v>
      </c>
      <c r="F116" s="464" t="s">
        <v>494</v>
      </c>
      <c r="G116" s="471">
        <v>2021</v>
      </c>
      <c r="H116" s="514">
        <v>1453000</v>
      </c>
      <c r="I116" s="467">
        <v>0</v>
      </c>
      <c r="J116" s="514">
        <v>1453000</v>
      </c>
      <c r="K116" s="329">
        <v>100</v>
      </c>
    </row>
    <row r="117" spans="1:11" s="421" customFormat="1" ht="34.5" customHeight="1">
      <c r="A117" s="416"/>
      <c r="B117" s="434"/>
      <c r="C117" s="435"/>
      <c r="D117" s="435"/>
      <c r="E117" s="252"/>
      <c r="F117" s="509" t="s">
        <v>474</v>
      </c>
      <c r="G117" s="471"/>
      <c r="H117" s="514"/>
      <c r="I117" s="467"/>
      <c r="J117" s="451">
        <v>49900</v>
      </c>
      <c r="K117" s="329"/>
    </row>
    <row r="118" spans="1:11" s="421" customFormat="1" ht="49.5" customHeight="1">
      <c r="A118" s="416"/>
      <c r="B118" s="234" t="s">
        <v>253</v>
      </c>
      <c r="C118" s="435" t="s">
        <v>252</v>
      </c>
      <c r="D118" s="435" t="s">
        <v>221</v>
      </c>
      <c r="E118" s="252" t="s">
        <v>403</v>
      </c>
      <c r="F118" s="464" t="s">
        <v>495</v>
      </c>
      <c r="G118" s="471">
        <v>2021</v>
      </c>
      <c r="H118" s="514">
        <v>899500</v>
      </c>
      <c r="I118" s="467">
        <v>0</v>
      </c>
      <c r="J118" s="459">
        <v>899500</v>
      </c>
      <c r="K118" s="329">
        <v>100</v>
      </c>
    </row>
    <row r="119" spans="1:11" s="421" customFormat="1" ht="40.5" customHeight="1">
      <c r="A119" s="416"/>
      <c r="B119" s="434"/>
      <c r="C119" s="435"/>
      <c r="D119" s="435"/>
      <c r="E119" s="252"/>
      <c r="F119" s="509" t="s">
        <v>474</v>
      </c>
      <c r="G119" s="471"/>
      <c r="H119" s="514"/>
      <c r="I119" s="467"/>
      <c r="J119" s="451">
        <v>49900</v>
      </c>
      <c r="K119" s="329"/>
    </row>
    <row r="120" spans="1:11" s="421" customFormat="1" ht="44.25" customHeight="1">
      <c r="A120" s="416"/>
      <c r="B120" s="234" t="s">
        <v>253</v>
      </c>
      <c r="C120" s="435" t="s">
        <v>252</v>
      </c>
      <c r="D120" s="435" t="s">
        <v>221</v>
      </c>
      <c r="E120" s="252" t="s">
        <v>403</v>
      </c>
      <c r="F120" s="505" t="s">
        <v>496</v>
      </c>
      <c r="G120" s="471">
        <v>2021</v>
      </c>
      <c r="H120" s="514">
        <v>407600</v>
      </c>
      <c r="I120" s="467">
        <v>0</v>
      </c>
      <c r="J120" s="459">
        <v>407600</v>
      </c>
      <c r="K120" s="329">
        <v>100</v>
      </c>
    </row>
    <row r="121" spans="1:11" s="421" customFormat="1" ht="43.5" customHeight="1">
      <c r="A121" s="416"/>
      <c r="B121" s="482"/>
      <c r="C121" s="435"/>
      <c r="D121" s="435"/>
      <c r="E121" s="252"/>
      <c r="F121" s="470" t="s">
        <v>474</v>
      </c>
      <c r="G121" s="471"/>
      <c r="H121" s="514"/>
      <c r="I121" s="467"/>
      <c r="J121" s="451">
        <v>49900</v>
      </c>
      <c r="K121" s="329"/>
    </row>
    <row r="122" spans="1:11" s="421" customFormat="1" ht="81" customHeight="1">
      <c r="A122" s="416"/>
      <c r="B122" s="600">
        <v>1517330</v>
      </c>
      <c r="C122" s="600">
        <v>7330</v>
      </c>
      <c r="D122" s="601" t="s">
        <v>221</v>
      </c>
      <c r="E122" s="602" t="s">
        <v>574</v>
      </c>
      <c r="F122" s="761" t="s">
        <v>575</v>
      </c>
      <c r="G122" s="515">
        <v>2021</v>
      </c>
      <c r="H122" s="516"/>
      <c r="I122" s="517"/>
      <c r="J122" s="449">
        <v>48600</v>
      </c>
      <c r="K122" s="329">
        <v>100</v>
      </c>
    </row>
    <row r="123" spans="1:11" s="421" customFormat="1" ht="38.25" customHeight="1">
      <c r="A123" s="416"/>
      <c r="B123" s="599"/>
      <c r="C123" s="600"/>
      <c r="D123" s="601"/>
      <c r="E123" s="602"/>
      <c r="F123" s="470" t="s">
        <v>474</v>
      </c>
      <c r="G123" s="515"/>
      <c r="H123" s="516"/>
      <c r="I123" s="517"/>
      <c r="J123" s="550">
        <v>48600</v>
      </c>
      <c r="K123" s="329"/>
    </row>
    <row r="124" spans="1:11" s="421" customFormat="1" ht="83.25" customHeight="1">
      <c r="A124" s="416"/>
      <c r="B124" s="600">
        <v>1517330</v>
      </c>
      <c r="C124" s="600">
        <v>7330</v>
      </c>
      <c r="D124" s="601" t="s">
        <v>221</v>
      </c>
      <c r="E124" s="602" t="s">
        <v>574</v>
      </c>
      <c r="F124" s="761" t="s">
        <v>576</v>
      </c>
      <c r="G124" s="515">
        <v>2021</v>
      </c>
      <c r="H124" s="516"/>
      <c r="I124" s="517"/>
      <c r="J124" s="449">
        <v>48600</v>
      </c>
      <c r="K124" s="329">
        <v>100</v>
      </c>
    </row>
    <row r="125" spans="1:11" s="421" customFormat="1" ht="40.5" customHeight="1">
      <c r="A125" s="416"/>
      <c r="B125" s="558"/>
      <c r="C125" s="597"/>
      <c r="D125" s="473"/>
      <c r="E125" s="342"/>
      <c r="F125" s="470" t="s">
        <v>474</v>
      </c>
      <c r="G125" s="515"/>
      <c r="H125" s="516"/>
      <c r="I125" s="517"/>
      <c r="J125" s="550">
        <v>48600</v>
      </c>
      <c r="K125" s="329"/>
    </row>
    <row r="126" spans="1:11" s="421" customFormat="1" ht="79.5" customHeight="1">
      <c r="A126" s="416"/>
      <c r="B126" s="600">
        <v>1517330</v>
      </c>
      <c r="C126" s="600">
        <v>7330</v>
      </c>
      <c r="D126" s="601" t="s">
        <v>221</v>
      </c>
      <c r="E126" s="602" t="s">
        <v>574</v>
      </c>
      <c r="F126" s="761" t="s">
        <v>577</v>
      </c>
      <c r="G126" s="515">
        <v>2021</v>
      </c>
      <c r="H126" s="516"/>
      <c r="I126" s="517"/>
      <c r="J126" s="449">
        <v>48600</v>
      </c>
      <c r="K126" s="329">
        <v>100</v>
      </c>
    </row>
    <row r="127" spans="1:11" s="421" customFormat="1" ht="43.5" customHeight="1">
      <c r="A127" s="416"/>
      <c r="B127" s="558"/>
      <c r="C127" s="597"/>
      <c r="D127" s="473"/>
      <c r="E127" s="342"/>
      <c r="F127" s="470" t="s">
        <v>474</v>
      </c>
      <c r="G127" s="515"/>
      <c r="H127" s="516"/>
      <c r="I127" s="517"/>
      <c r="J127" s="550">
        <v>48600</v>
      </c>
      <c r="K127" s="329"/>
    </row>
    <row r="128" spans="1:11" s="421" customFormat="1" ht="72" customHeight="1">
      <c r="A128" s="416"/>
      <c r="B128" s="600">
        <v>1517330</v>
      </c>
      <c r="C128" s="600">
        <v>7330</v>
      </c>
      <c r="D128" s="601" t="s">
        <v>221</v>
      </c>
      <c r="E128" s="602" t="s">
        <v>574</v>
      </c>
      <c r="F128" s="762" t="s">
        <v>578</v>
      </c>
      <c r="G128" s="515">
        <v>2021</v>
      </c>
      <c r="H128" s="516"/>
      <c r="I128" s="517"/>
      <c r="J128" s="449">
        <v>34020</v>
      </c>
      <c r="K128" s="329">
        <v>100</v>
      </c>
    </row>
    <row r="129" spans="1:11" s="421" customFormat="1" ht="39.75" customHeight="1">
      <c r="A129" s="416"/>
      <c r="B129" s="558"/>
      <c r="C129" s="597"/>
      <c r="D129" s="473"/>
      <c r="E129" s="342"/>
      <c r="F129" s="470" t="s">
        <v>474</v>
      </c>
      <c r="G129" s="515"/>
      <c r="H129" s="516"/>
      <c r="I129" s="517"/>
      <c r="J129" s="550">
        <v>34020</v>
      </c>
      <c r="K129" s="329"/>
    </row>
    <row r="130" spans="1:11" s="421" customFormat="1" ht="75.75" customHeight="1">
      <c r="A130" s="416"/>
      <c r="B130" s="600">
        <v>1517330</v>
      </c>
      <c r="C130" s="600">
        <v>7330</v>
      </c>
      <c r="D130" s="601" t="s">
        <v>221</v>
      </c>
      <c r="E130" s="602" t="s">
        <v>574</v>
      </c>
      <c r="F130" s="761" t="s">
        <v>579</v>
      </c>
      <c r="G130" s="515">
        <v>2021</v>
      </c>
      <c r="H130" s="516"/>
      <c r="I130" s="517"/>
      <c r="J130" s="449">
        <v>38880</v>
      </c>
      <c r="K130" s="329">
        <v>100</v>
      </c>
    </row>
    <row r="131" spans="1:11" s="421" customFormat="1" ht="32.25" customHeight="1">
      <c r="A131" s="416"/>
      <c r="B131" s="558"/>
      <c r="C131" s="597"/>
      <c r="D131" s="473"/>
      <c r="E131" s="342"/>
      <c r="F131" s="470" t="s">
        <v>474</v>
      </c>
      <c r="G131" s="515"/>
      <c r="H131" s="516"/>
      <c r="I131" s="517"/>
      <c r="J131" s="550">
        <v>38880</v>
      </c>
      <c r="K131" s="329"/>
    </row>
    <row r="132" spans="1:11" s="421" customFormat="1" ht="84.75" customHeight="1">
      <c r="A132" s="416"/>
      <c r="B132" s="763">
        <v>1517330</v>
      </c>
      <c r="C132" s="763">
        <v>7330</v>
      </c>
      <c r="D132" s="764" t="s">
        <v>221</v>
      </c>
      <c r="E132" s="765" t="s">
        <v>574</v>
      </c>
      <c r="F132" s="766" t="s">
        <v>581</v>
      </c>
      <c r="G132" s="515">
        <v>2021</v>
      </c>
      <c r="H132" s="516"/>
      <c r="I132" s="517"/>
      <c r="J132" s="449">
        <v>37260</v>
      </c>
      <c r="K132" s="329">
        <v>100</v>
      </c>
    </row>
    <row r="133" spans="1:11" s="421" customFormat="1" ht="38.25" customHeight="1">
      <c r="A133" s="416"/>
      <c r="B133" s="558"/>
      <c r="C133" s="597"/>
      <c r="D133" s="473"/>
      <c r="E133" s="342"/>
      <c r="F133" s="470" t="s">
        <v>474</v>
      </c>
      <c r="G133" s="515"/>
      <c r="H133" s="516"/>
      <c r="I133" s="517"/>
      <c r="J133" s="550">
        <v>37260</v>
      </c>
      <c r="K133" s="329"/>
    </row>
    <row r="134" spans="1:11" s="421" customFormat="1" ht="53.25" customHeight="1">
      <c r="A134" s="416"/>
      <c r="B134" s="763">
        <v>1517330</v>
      </c>
      <c r="C134" s="763">
        <v>7330</v>
      </c>
      <c r="D134" s="764" t="s">
        <v>221</v>
      </c>
      <c r="E134" s="765" t="s">
        <v>574</v>
      </c>
      <c r="F134" s="767" t="s">
        <v>580</v>
      </c>
      <c r="G134" s="515">
        <v>2021</v>
      </c>
      <c r="H134" s="516"/>
      <c r="I134" s="517"/>
      <c r="J134" s="449">
        <v>355000</v>
      </c>
      <c r="K134" s="329">
        <v>100</v>
      </c>
    </row>
    <row r="135" spans="1:11" s="421" customFormat="1" ht="53.25" customHeight="1">
      <c r="A135" s="416"/>
      <c r="B135" s="558"/>
      <c r="C135" s="597"/>
      <c r="D135" s="473"/>
      <c r="E135" s="342"/>
      <c r="F135" s="470" t="s">
        <v>474</v>
      </c>
      <c r="G135" s="515"/>
      <c r="H135" s="516"/>
      <c r="I135" s="517"/>
      <c r="J135" s="550">
        <v>355000</v>
      </c>
      <c r="K135" s="329"/>
    </row>
    <row r="136" spans="1:11" s="421" customFormat="1" ht="59.25" customHeight="1">
      <c r="A136" s="416"/>
      <c r="B136" s="234" t="s">
        <v>253</v>
      </c>
      <c r="C136" s="435" t="s">
        <v>252</v>
      </c>
      <c r="D136" s="473" t="s">
        <v>221</v>
      </c>
      <c r="E136" s="342" t="s">
        <v>403</v>
      </c>
      <c r="F136" s="598" t="s">
        <v>564</v>
      </c>
      <c r="G136" s="515">
        <v>2021</v>
      </c>
      <c r="H136" s="516">
        <v>500000</v>
      </c>
      <c r="I136" s="517">
        <v>0</v>
      </c>
      <c r="J136" s="449">
        <v>500000</v>
      </c>
      <c r="K136" s="329">
        <v>100</v>
      </c>
    </row>
    <row r="137" spans="1:11" s="421" customFormat="1" ht="36" customHeight="1">
      <c r="A137" s="416"/>
      <c r="B137" s="434"/>
      <c r="C137" s="469"/>
      <c r="D137" s="475"/>
      <c r="E137" s="345"/>
      <c r="F137" s="470" t="s">
        <v>474</v>
      </c>
      <c r="G137" s="471"/>
      <c r="H137" s="348"/>
      <c r="I137" s="339"/>
      <c r="J137" s="348">
        <v>49900</v>
      </c>
      <c r="K137" s="474"/>
    </row>
    <row r="138" spans="1:14" s="519" customFormat="1" ht="30" customHeight="1">
      <c r="A138" s="405"/>
      <c r="B138" s="336"/>
      <c r="C138" s="223"/>
      <c r="D138" s="223"/>
      <c r="E138" s="224" t="s">
        <v>269</v>
      </c>
      <c r="F138" s="518"/>
      <c r="G138" s="518"/>
      <c r="H138" s="236">
        <f>H9+H49</f>
        <v>384185744</v>
      </c>
      <c r="I138" s="339"/>
      <c r="J138" s="236">
        <f>J9+J49</f>
        <v>117494597</v>
      </c>
      <c r="K138" s="337"/>
      <c r="N138" s="576"/>
    </row>
    <row r="140" spans="1:11" s="527" customFormat="1" ht="42.75" customHeight="1">
      <c r="A140" s="405"/>
      <c r="B140" s="522"/>
      <c r="C140" s="274"/>
      <c r="D140" s="274"/>
      <c r="E140" s="274" t="s">
        <v>43</v>
      </c>
      <c r="F140" s="274"/>
      <c r="G140" s="274"/>
      <c r="H140" s="523"/>
      <c r="I140" s="524"/>
      <c r="J140" s="525" t="s">
        <v>419</v>
      </c>
      <c r="K140" s="526"/>
    </row>
    <row r="141" spans="2:14" ht="20.25" customHeight="1">
      <c r="B141" s="108"/>
      <c r="C141" s="108"/>
      <c r="D141" s="108"/>
      <c r="E141" s="108"/>
      <c r="F141" s="108"/>
      <c r="G141" s="108"/>
      <c r="H141" s="528"/>
      <c r="I141" s="529"/>
      <c r="J141" s="528"/>
      <c r="K141" s="529"/>
      <c r="L141" s="108"/>
      <c r="M141" s="108"/>
      <c r="N141" s="108"/>
    </row>
    <row r="142" spans="2:14" ht="20.25" customHeight="1">
      <c r="B142" s="108"/>
      <c r="C142" s="108"/>
      <c r="D142" s="108"/>
      <c r="E142" s="108"/>
      <c r="F142" s="108"/>
      <c r="G142" s="108"/>
      <c r="H142" s="528"/>
      <c r="I142" s="529"/>
      <c r="J142" s="528"/>
      <c r="K142" s="529"/>
      <c r="L142" s="108"/>
      <c r="M142" s="108"/>
      <c r="N142" s="108"/>
    </row>
    <row r="143" spans="2:14" ht="36.75" customHeight="1">
      <c r="B143" s="645"/>
      <c r="C143" s="645"/>
      <c r="D143" s="645"/>
      <c r="E143" s="645"/>
      <c r="F143" s="645"/>
      <c r="G143" s="645"/>
      <c r="H143" s="645"/>
      <c r="I143" s="645"/>
      <c r="J143" s="645"/>
      <c r="K143" s="645"/>
      <c r="L143" s="370"/>
      <c r="M143" s="370"/>
      <c r="N143" s="370"/>
    </row>
    <row r="144" spans="2:14" ht="21" customHeight="1">
      <c r="B144" s="645"/>
      <c r="C144" s="645"/>
      <c r="D144" s="645"/>
      <c r="E144" s="645"/>
      <c r="F144" s="645"/>
      <c r="G144" s="645"/>
      <c r="H144" s="645"/>
      <c r="I144" s="645"/>
      <c r="J144" s="645"/>
      <c r="K144" s="645"/>
      <c r="L144" s="645"/>
      <c r="M144" s="645"/>
      <c r="N144" s="645"/>
    </row>
  </sheetData>
  <sheetProtection/>
  <autoFilter ref="A8:N138"/>
  <mergeCells count="6">
    <mergeCell ref="B3:K3"/>
    <mergeCell ref="B143:K143"/>
    <mergeCell ref="B144:N144"/>
    <mergeCell ref="H1:K1"/>
    <mergeCell ref="E4:F4"/>
    <mergeCell ref="G53:K53"/>
  </mergeCells>
  <printOptions/>
  <pageMargins left="0.2362204724409449" right="0.1968503937007874" top="0.4724409448818898" bottom="0.2755905511811024" header="0.2362204724409449" footer="0.2755905511811024"/>
  <pageSetup fitToHeight="0" fitToWidth="1" horizontalDpi="600" verticalDpi="600" orientation="landscape" paperSize="9" scale="51" r:id="rId1"/>
  <rowBreaks count="1" manualBreakCount="1">
    <brk id="12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view="pageBreakPreview" zoomScale="80" zoomScaleNormal="75" zoomScaleSheetLayoutView="80" zoomScalePageLayoutView="0" workbookViewId="0" topLeftCell="A58">
      <selection activeCell="E41" sqref="E41"/>
    </sheetView>
  </sheetViews>
  <sheetFormatPr defaultColWidth="9.00390625" defaultRowHeight="12.75"/>
  <cols>
    <col min="1" max="1" width="3.25390625" style="7" customWidth="1"/>
    <col min="2" max="2" width="14.125" style="32" customWidth="1"/>
    <col min="3" max="3" width="15.25390625" style="32" customWidth="1"/>
    <col min="4" max="4" width="20.00390625" style="32" customWidth="1"/>
    <col min="5" max="5" width="57.875" style="32" customWidth="1"/>
    <col min="6" max="6" width="61.25390625" style="243" customWidth="1"/>
    <col min="7" max="7" width="31.875" style="32" customWidth="1"/>
    <col min="8" max="8" width="18.125" style="32" customWidth="1"/>
    <col min="9" max="9" width="19.625" style="32" customWidth="1"/>
    <col min="10" max="10" width="16.625" style="8" customWidth="1"/>
    <col min="11" max="11" width="21.125" style="9" customWidth="1"/>
    <col min="12" max="12" width="1.37890625" style="9" customWidth="1"/>
    <col min="13" max="13" width="12.75390625" style="9" customWidth="1"/>
    <col min="14" max="14" width="7.00390625" style="9" customWidth="1"/>
    <col min="15" max="15" width="7.875" style="9" customWidth="1"/>
    <col min="16" max="16384" width="9.125" style="9" customWidth="1"/>
  </cols>
  <sheetData>
    <row r="1" spans="2:9" ht="9.75" customHeight="1">
      <c r="B1" s="704"/>
      <c r="C1" s="704"/>
      <c r="D1" s="704"/>
      <c r="E1" s="704"/>
      <c r="F1" s="704"/>
      <c r="G1" s="704"/>
      <c r="H1" s="704"/>
      <c r="I1" s="704"/>
    </row>
    <row r="2" spans="2:11" ht="88.5" customHeight="1">
      <c r="B2" s="369"/>
      <c r="C2" s="369"/>
      <c r="D2" s="369"/>
      <c r="E2" s="369"/>
      <c r="F2" s="369"/>
      <c r="G2" s="684" t="s">
        <v>542</v>
      </c>
      <c r="H2" s="654"/>
      <c r="I2" s="654"/>
      <c r="J2" s="654"/>
      <c r="K2" s="654"/>
    </row>
    <row r="3" spans="2:11" ht="16.5" customHeight="1">
      <c r="B3" s="369"/>
      <c r="C3" s="369"/>
      <c r="D3" s="369"/>
      <c r="E3" s="369"/>
      <c r="F3" s="369"/>
      <c r="G3" s="373" t="s">
        <v>323</v>
      </c>
      <c r="H3" s="373"/>
      <c r="I3" s="373"/>
      <c r="J3" s="373"/>
      <c r="K3" s="373"/>
    </row>
    <row r="4" spans="2:11" ht="39.75" customHeight="1">
      <c r="B4" s="683" t="s">
        <v>543</v>
      </c>
      <c r="C4" s="683"/>
      <c r="D4" s="683"/>
      <c r="E4" s="683"/>
      <c r="F4" s="683"/>
      <c r="G4" s="683"/>
      <c r="H4" s="683"/>
      <c r="I4" s="683"/>
      <c r="J4" s="683"/>
      <c r="K4" s="683"/>
    </row>
    <row r="5" spans="2:11" ht="19.5" customHeight="1">
      <c r="B5" s="374"/>
      <c r="C5" s="374"/>
      <c r="D5" s="374"/>
      <c r="E5" s="691" t="s">
        <v>365</v>
      </c>
      <c r="F5" s="691"/>
      <c r="G5" s="374"/>
      <c r="H5" s="374"/>
      <c r="I5" s="374"/>
      <c r="J5" s="375"/>
      <c r="K5" s="274"/>
    </row>
    <row r="6" spans="2:11" ht="23.25" customHeight="1">
      <c r="B6" s="374"/>
      <c r="C6" s="374"/>
      <c r="D6" s="374"/>
      <c r="E6" s="393" t="s">
        <v>310</v>
      </c>
      <c r="F6" s="374"/>
      <c r="G6" s="374"/>
      <c r="H6" s="374"/>
      <c r="I6" s="374"/>
      <c r="J6" s="375"/>
      <c r="K6" s="376" t="s">
        <v>83</v>
      </c>
    </row>
    <row r="7" spans="1:11" ht="68.25" customHeight="1">
      <c r="A7" s="36"/>
      <c r="B7" s="705" t="s">
        <v>275</v>
      </c>
      <c r="C7" s="705" t="s">
        <v>276</v>
      </c>
      <c r="D7" s="705" t="s">
        <v>277</v>
      </c>
      <c r="E7" s="705" t="s">
        <v>324</v>
      </c>
      <c r="F7" s="641" t="s">
        <v>270</v>
      </c>
      <c r="G7" s="641" t="s">
        <v>271</v>
      </c>
      <c r="H7" s="641" t="s">
        <v>267</v>
      </c>
      <c r="I7" s="641" t="s">
        <v>68</v>
      </c>
      <c r="J7" s="641" t="s">
        <v>69</v>
      </c>
      <c r="K7" s="641"/>
    </row>
    <row r="8" spans="1:11" s="38" customFormat="1" ht="63.75" customHeight="1">
      <c r="A8" s="37"/>
      <c r="B8" s="705"/>
      <c r="C8" s="705"/>
      <c r="D8" s="705"/>
      <c r="E8" s="705"/>
      <c r="F8" s="641"/>
      <c r="G8" s="641"/>
      <c r="H8" s="641"/>
      <c r="I8" s="641"/>
      <c r="J8" s="367" t="s">
        <v>268</v>
      </c>
      <c r="K8" s="367" t="s">
        <v>272</v>
      </c>
    </row>
    <row r="9" spans="1:11" s="38" customFormat="1" ht="21.75" customHeight="1">
      <c r="A9" s="37"/>
      <c r="B9" s="171">
        <v>1</v>
      </c>
      <c r="C9" s="171">
        <f>B9+1</f>
        <v>2</v>
      </c>
      <c r="D9" s="171">
        <f aca="true" t="shared" si="0" ref="D9:K9">C9+1</f>
        <v>3</v>
      </c>
      <c r="E9" s="171">
        <f t="shared" si="0"/>
        <v>4</v>
      </c>
      <c r="F9" s="171">
        <f t="shared" si="0"/>
        <v>5</v>
      </c>
      <c r="G9" s="171">
        <f t="shared" si="0"/>
        <v>6</v>
      </c>
      <c r="H9" s="171">
        <f t="shared" si="0"/>
        <v>7</v>
      </c>
      <c r="I9" s="171">
        <f t="shared" si="0"/>
        <v>8</v>
      </c>
      <c r="J9" s="171">
        <f t="shared" si="0"/>
        <v>9</v>
      </c>
      <c r="K9" s="171">
        <f t="shared" si="0"/>
        <v>10</v>
      </c>
    </row>
    <row r="10" spans="1:11" s="84" customFormat="1" ht="33.75" customHeight="1">
      <c r="A10" s="100"/>
      <c r="B10" s="203" t="s">
        <v>294</v>
      </c>
      <c r="C10" s="203" t="s">
        <v>295</v>
      </c>
      <c r="D10" s="71"/>
      <c r="E10" s="205" t="s">
        <v>292</v>
      </c>
      <c r="F10" s="377"/>
      <c r="G10" s="378"/>
      <c r="H10" s="379">
        <f>H11</f>
        <v>35972300</v>
      </c>
      <c r="I10" s="379">
        <f>I11</f>
        <v>31404740</v>
      </c>
      <c r="J10" s="379">
        <f>J11</f>
        <v>4567560</v>
      </c>
      <c r="K10" s="379">
        <f>K11</f>
        <v>4567560</v>
      </c>
    </row>
    <row r="11" spans="1:11" s="13" customFormat="1" ht="38.25" customHeight="1">
      <c r="A11" s="29"/>
      <c r="B11" s="203" t="s">
        <v>297</v>
      </c>
      <c r="C11" s="203"/>
      <c r="D11" s="71"/>
      <c r="E11" s="205" t="s">
        <v>293</v>
      </c>
      <c r="F11" s="380"/>
      <c r="G11" s="381"/>
      <c r="H11" s="379">
        <f>SUM(H12:H23)</f>
        <v>35972300</v>
      </c>
      <c r="I11" s="379">
        <f>SUM(I12:I23)</f>
        <v>31404740</v>
      </c>
      <c r="J11" s="379">
        <f>SUM(J12:J23)</f>
        <v>4567560</v>
      </c>
      <c r="K11" s="379">
        <f>SUM(K12:K23)</f>
        <v>4567560</v>
      </c>
    </row>
    <row r="12" spans="2:11" ht="46.5" customHeight="1">
      <c r="B12" s="700" t="s">
        <v>298</v>
      </c>
      <c r="C12" s="692" t="s">
        <v>64</v>
      </c>
      <c r="D12" s="692" t="s">
        <v>55</v>
      </c>
      <c r="E12" s="689" t="s">
        <v>185</v>
      </c>
      <c r="F12" s="608" t="s">
        <v>406</v>
      </c>
      <c r="G12" s="563" t="s">
        <v>594</v>
      </c>
      <c r="H12" s="384">
        <f>I12+J12</f>
        <v>450000</v>
      </c>
      <c r="I12" s="384">
        <v>450000</v>
      </c>
      <c r="J12" s="385"/>
      <c r="K12" s="385"/>
    </row>
    <row r="13" spans="2:11" ht="44.25" customHeight="1">
      <c r="B13" s="701"/>
      <c r="C13" s="693"/>
      <c r="D13" s="693"/>
      <c r="E13" s="690"/>
      <c r="F13" s="607" t="s">
        <v>394</v>
      </c>
      <c r="G13" s="563" t="s">
        <v>407</v>
      </c>
      <c r="H13" s="384">
        <f aca="true" t="shared" si="1" ref="H13:H23">I13+J13</f>
        <v>990000</v>
      </c>
      <c r="I13" s="384">
        <v>990000</v>
      </c>
      <c r="J13" s="385"/>
      <c r="K13" s="385"/>
    </row>
    <row r="14" spans="2:11" ht="44.25" customHeight="1">
      <c r="B14" s="279" t="s">
        <v>398</v>
      </c>
      <c r="C14" s="279" t="s">
        <v>237</v>
      </c>
      <c r="D14" s="172" t="s">
        <v>63</v>
      </c>
      <c r="E14" s="210" t="s">
        <v>238</v>
      </c>
      <c r="F14" s="712" t="s">
        <v>586</v>
      </c>
      <c r="G14" s="711" t="s">
        <v>587</v>
      </c>
      <c r="H14" s="386">
        <f t="shared" si="1"/>
        <v>5742200</v>
      </c>
      <c r="I14" s="384">
        <f>3500000+2242200</f>
        <v>5742200</v>
      </c>
      <c r="J14" s="385"/>
      <c r="K14" s="386"/>
    </row>
    <row r="15" spans="2:11" ht="70.5" customHeight="1">
      <c r="B15" s="279" t="s">
        <v>399</v>
      </c>
      <c r="C15" s="279" t="s">
        <v>24</v>
      </c>
      <c r="D15" s="172" t="s">
        <v>63</v>
      </c>
      <c r="E15" s="210" t="s">
        <v>22</v>
      </c>
      <c r="F15" s="712"/>
      <c r="G15" s="711"/>
      <c r="H15" s="386">
        <f t="shared" si="1"/>
        <v>17450000</v>
      </c>
      <c r="I15" s="384">
        <v>17450000</v>
      </c>
      <c r="J15" s="385"/>
      <c r="K15" s="385"/>
    </row>
    <row r="16" spans="2:11" ht="65.25" customHeight="1">
      <c r="B16" s="279" t="s">
        <v>399</v>
      </c>
      <c r="C16" s="279" t="s">
        <v>24</v>
      </c>
      <c r="D16" s="172" t="s">
        <v>63</v>
      </c>
      <c r="E16" s="210" t="s">
        <v>22</v>
      </c>
      <c r="F16" s="607" t="s">
        <v>525</v>
      </c>
      <c r="G16" s="563" t="s">
        <v>593</v>
      </c>
      <c r="H16" s="386">
        <f>I16+J16</f>
        <v>7817100</v>
      </c>
      <c r="I16" s="384">
        <v>3249540</v>
      </c>
      <c r="J16" s="385">
        <v>4567560</v>
      </c>
      <c r="K16" s="385">
        <v>4567560</v>
      </c>
    </row>
    <row r="17" spans="2:11" ht="55.5" customHeight="1">
      <c r="B17" s="279" t="s">
        <v>299</v>
      </c>
      <c r="C17" s="279" t="s">
        <v>71</v>
      </c>
      <c r="D17" s="208" t="s">
        <v>48</v>
      </c>
      <c r="E17" s="210" t="s">
        <v>39</v>
      </c>
      <c r="F17" s="394" t="s">
        <v>387</v>
      </c>
      <c r="G17" s="563" t="s">
        <v>544</v>
      </c>
      <c r="H17" s="384">
        <f t="shared" si="1"/>
        <v>200000</v>
      </c>
      <c r="I17" s="384">
        <v>200000</v>
      </c>
      <c r="J17" s="385"/>
      <c r="K17" s="385"/>
    </row>
    <row r="18" spans="2:11" ht="48" customHeight="1">
      <c r="B18" s="700" t="s">
        <v>300</v>
      </c>
      <c r="C18" s="700" t="s">
        <v>11</v>
      </c>
      <c r="D18" s="692" t="s">
        <v>33</v>
      </c>
      <c r="E18" s="710" t="s">
        <v>34</v>
      </c>
      <c r="F18" s="608" t="s">
        <v>389</v>
      </c>
      <c r="G18" s="563" t="s">
        <v>545</v>
      </c>
      <c r="H18" s="384">
        <f t="shared" si="1"/>
        <v>55000</v>
      </c>
      <c r="I18" s="384">
        <v>55000</v>
      </c>
      <c r="J18" s="385"/>
      <c r="K18" s="385"/>
    </row>
    <row r="19" spans="2:11" ht="31.5">
      <c r="B19" s="701"/>
      <c r="C19" s="701"/>
      <c r="D19" s="693"/>
      <c r="E19" s="690"/>
      <c r="F19" s="608" t="s">
        <v>526</v>
      </c>
      <c r="G19" s="563" t="s">
        <v>546</v>
      </c>
      <c r="H19" s="384">
        <f t="shared" si="1"/>
        <v>30000</v>
      </c>
      <c r="I19" s="384">
        <v>30000</v>
      </c>
      <c r="J19" s="385"/>
      <c r="K19" s="385"/>
    </row>
    <row r="20" spans="2:11" ht="39" customHeight="1">
      <c r="B20" s="279" t="s">
        <v>301</v>
      </c>
      <c r="C20" s="279" t="s">
        <v>12</v>
      </c>
      <c r="D20" s="208" t="s">
        <v>53</v>
      </c>
      <c r="E20" s="210" t="s">
        <v>13</v>
      </c>
      <c r="F20" s="607" t="s">
        <v>388</v>
      </c>
      <c r="G20" s="563" t="s">
        <v>547</v>
      </c>
      <c r="H20" s="384">
        <f t="shared" si="1"/>
        <v>1848000</v>
      </c>
      <c r="I20" s="384">
        <v>1848000</v>
      </c>
      <c r="J20" s="385"/>
      <c r="K20" s="385"/>
    </row>
    <row r="21" spans="2:13" ht="48" customHeight="1">
      <c r="B21" s="702" t="s">
        <v>302</v>
      </c>
      <c r="C21" s="702" t="s">
        <v>225</v>
      </c>
      <c r="D21" s="706" t="s">
        <v>61</v>
      </c>
      <c r="E21" s="708" t="s">
        <v>226</v>
      </c>
      <c r="F21" s="607" t="s">
        <v>596</v>
      </c>
      <c r="G21" s="563" t="s">
        <v>597</v>
      </c>
      <c r="H21" s="384">
        <f t="shared" si="1"/>
        <v>300000</v>
      </c>
      <c r="I21" s="384">
        <v>300000</v>
      </c>
      <c r="J21" s="385"/>
      <c r="K21" s="385"/>
      <c r="M21" s="99"/>
    </row>
    <row r="22" spans="2:13" ht="48" customHeight="1">
      <c r="B22" s="703"/>
      <c r="C22" s="703"/>
      <c r="D22" s="707"/>
      <c r="E22" s="709"/>
      <c r="F22" s="607" t="s">
        <v>408</v>
      </c>
      <c r="G22" s="563" t="s">
        <v>595</v>
      </c>
      <c r="H22" s="384">
        <f t="shared" si="1"/>
        <v>850000</v>
      </c>
      <c r="I22" s="384">
        <v>850000</v>
      </c>
      <c r="J22" s="385"/>
      <c r="K22" s="385"/>
      <c r="M22" s="99"/>
    </row>
    <row r="23" spans="2:11" ht="50.25" customHeight="1">
      <c r="B23" s="279" t="s">
        <v>303</v>
      </c>
      <c r="C23" s="171">
        <v>8110</v>
      </c>
      <c r="D23" s="171" t="s">
        <v>171</v>
      </c>
      <c r="E23" s="98" t="s">
        <v>15</v>
      </c>
      <c r="F23" s="607" t="s">
        <v>409</v>
      </c>
      <c r="G23" s="563" t="s">
        <v>592</v>
      </c>
      <c r="H23" s="384">
        <f t="shared" si="1"/>
        <v>240000</v>
      </c>
      <c r="I23" s="384">
        <v>240000</v>
      </c>
      <c r="J23" s="385"/>
      <c r="K23" s="385"/>
    </row>
    <row r="24" spans="2:11" ht="31.5">
      <c r="B24" s="203" t="s">
        <v>201</v>
      </c>
      <c r="C24" s="193" t="s">
        <v>202</v>
      </c>
      <c r="D24" s="193"/>
      <c r="E24" s="192" t="s">
        <v>351</v>
      </c>
      <c r="F24" s="377"/>
      <c r="G24" s="378"/>
      <c r="H24" s="379">
        <f>H25</f>
        <v>9692440</v>
      </c>
      <c r="I24" s="379">
        <f>I25</f>
        <v>9692440</v>
      </c>
      <c r="J24" s="379">
        <f>J25</f>
        <v>0</v>
      </c>
      <c r="K24" s="379">
        <f>K25</f>
        <v>0</v>
      </c>
    </row>
    <row r="25" spans="2:11" ht="31.5">
      <c r="B25" s="203" t="s">
        <v>203</v>
      </c>
      <c r="C25" s="193"/>
      <c r="D25" s="193"/>
      <c r="E25" s="192" t="s">
        <v>352</v>
      </c>
      <c r="F25" s="377"/>
      <c r="G25" s="378"/>
      <c r="H25" s="379">
        <f>J25+I25</f>
        <v>9692440</v>
      </c>
      <c r="I25" s="379">
        <f>SUM(I26:I33)</f>
        <v>9692440</v>
      </c>
      <c r="J25" s="379">
        <f>SUM(J26:J33)</f>
        <v>0</v>
      </c>
      <c r="K25" s="379">
        <f>SUM(K26:K33)</f>
        <v>0</v>
      </c>
    </row>
    <row r="26" spans="1:11" s="274" customFormat="1" ht="39" customHeight="1">
      <c r="A26" s="404"/>
      <c r="B26" s="626" t="s">
        <v>752</v>
      </c>
      <c r="C26" s="626" t="s">
        <v>753</v>
      </c>
      <c r="D26" s="182" t="s">
        <v>282</v>
      </c>
      <c r="E26" s="630" t="s">
        <v>754</v>
      </c>
      <c r="F26" s="713" t="s">
        <v>461</v>
      </c>
      <c r="G26" s="714" t="s">
        <v>606</v>
      </c>
      <c r="H26" s="386">
        <f aca="true" t="shared" si="2" ref="H26:H33">I26+J26</f>
        <v>825000</v>
      </c>
      <c r="I26" s="384">
        <v>825000</v>
      </c>
      <c r="J26" s="385"/>
      <c r="K26" s="385"/>
    </row>
    <row r="27" spans="1:11" s="274" customFormat="1" ht="63">
      <c r="A27" s="404"/>
      <c r="B27" s="626" t="s">
        <v>234</v>
      </c>
      <c r="C27" s="626" t="s">
        <v>72</v>
      </c>
      <c r="D27" s="178">
        <v>1040</v>
      </c>
      <c r="E27" s="196" t="s">
        <v>209</v>
      </c>
      <c r="F27" s="713"/>
      <c r="G27" s="714"/>
      <c r="H27" s="386">
        <f t="shared" si="2"/>
        <v>198000</v>
      </c>
      <c r="I27" s="384">
        <v>198000</v>
      </c>
      <c r="J27" s="385"/>
      <c r="K27" s="385"/>
    </row>
    <row r="28" spans="1:11" s="274" customFormat="1" ht="64.5" customHeight="1">
      <c r="A28" s="404"/>
      <c r="B28" s="626" t="s">
        <v>752</v>
      </c>
      <c r="C28" s="626" t="s">
        <v>753</v>
      </c>
      <c r="D28" s="182" t="s">
        <v>282</v>
      </c>
      <c r="E28" s="630" t="s">
        <v>754</v>
      </c>
      <c r="F28" s="713" t="s">
        <v>462</v>
      </c>
      <c r="G28" s="711" t="s">
        <v>519</v>
      </c>
      <c r="H28" s="386">
        <f t="shared" si="2"/>
        <v>489765</v>
      </c>
      <c r="I28" s="384">
        <v>489765</v>
      </c>
      <c r="J28" s="385"/>
      <c r="K28" s="385"/>
    </row>
    <row r="29" spans="1:11" s="274" customFormat="1" ht="37.5" customHeight="1">
      <c r="A29" s="404"/>
      <c r="B29" s="626" t="s">
        <v>760</v>
      </c>
      <c r="C29" s="626" t="s">
        <v>761</v>
      </c>
      <c r="D29" s="182" t="s">
        <v>29</v>
      </c>
      <c r="E29" s="198" t="s">
        <v>284</v>
      </c>
      <c r="F29" s="713"/>
      <c r="G29" s="711"/>
      <c r="H29" s="386">
        <f t="shared" si="2"/>
        <v>1867835</v>
      </c>
      <c r="I29" s="384">
        <f>1190645+677190</f>
        <v>1867835</v>
      </c>
      <c r="J29" s="385"/>
      <c r="K29" s="385"/>
    </row>
    <row r="30" spans="1:13" s="81" customFormat="1" ht="55.5" customHeight="1">
      <c r="A30" s="753"/>
      <c r="B30" s="702" t="s">
        <v>760</v>
      </c>
      <c r="C30" s="702" t="s">
        <v>761</v>
      </c>
      <c r="D30" s="716" t="s">
        <v>29</v>
      </c>
      <c r="E30" s="717" t="s">
        <v>284</v>
      </c>
      <c r="F30" s="395" t="s">
        <v>463</v>
      </c>
      <c r="G30" s="628" t="s">
        <v>599</v>
      </c>
      <c r="H30" s="386">
        <f t="shared" si="2"/>
        <v>3972300</v>
      </c>
      <c r="I30" s="384">
        <v>3972300</v>
      </c>
      <c r="J30" s="385"/>
      <c r="K30" s="385"/>
      <c r="M30" s="274"/>
    </row>
    <row r="31" spans="1:13" s="81" customFormat="1" ht="55.5" customHeight="1">
      <c r="A31" s="753"/>
      <c r="B31" s="703"/>
      <c r="C31" s="703"/>
      <c r="D31" s="754"/>
      <c r="E31" s="718"/>
      <c r="F31" s="395" t="s">
        <v>464</v>
      </c>
      <c r="G31" s="628" t="s">
        <v>607</v>
      </c>
      <c r="H31" s="386">
        <f>I31+J31</f>
        <v>1388540</v>
      </c>
      <c r="I31" s="384">
        <v>1388540</v>
      </c>
      <c r="J31" s="385"/>
      <c r="K31" s="385"/>
      <c r="M31" s="274"/>
    </row>
    <row r="32" spans="1:11" s="3" customFormat="1" ht="49.5" customHeight="1">
      <c r="A32" s="14"/>
      <c r="B32" s="279" t="s">
        <v>206</v>
      </c>
      <c r="C32" s="279" t="s">
        <v>207</v>
      </c>
      <c r="D32" s="208" t="s">
        <v>48</v>
      </c>
      <c r="E32" s="167" t="s">
        <v>208</v>
      </c>
      <c r="F32" s="607" t="s">
        <v>465</v>
      </c>
      <c r="G32" s="567" t="s">
        <v>608</v>
      </c>
      <c r="H32" s="386">
        <f t="shared" si="2"/>
        <v>561000</v>
      </c>
      <c r="I32" s="384">
        <v>561000</v>
      </c>
      <c r="J32" s="385"/>
      <c r="K32" s="385"/>
    </row>
    <row r="33" spans="1:11" s="3" customFormat="1" ht="31.5" customHeight="1">
      <c r="A33" s="14"/>
      <c r="B33" s="396" t="s">
        <v>378</v>
      </c>
      <c r="C33" s="396" t="s">
        <v>377</v>
      </c>
      <c r="D33" s="397" t="s">
        <v>285</v>
      </c>
      <c r="E33" s="395" t="s">
        <v>379</v>
      </c>
      <c r="F33" s="395" t="s">
        <v>466</v>
      </c>
      <c r="G33" s="567" t="s">
        <v>609</v>
      </c>
      <c r="H33" s="386">
        <f t="shared" si="2"/>
        <v>390000</v>
      </c>
      <c r="I33" s="384">
        <v>390000</v>
      </c>
      <c r="J33" s="385"/>
      <c r="K33" s="385"/>
    </row>
    <row r="34" spans="2:11" ht="31.5">
      <c r="B34" s="203" t="s">
        <v>173</v>
      </c>
      <c r="C34" s="203" t="s">
        <v>172</v>
      </c>
      <c r="D34" s="193"/>
      <c r="E34" s="192" t="s">
        <v>339</v>
      </c>
      <c r="F34" s="377"/>
      <c r="G34" s="378"/>
      <c r="H34" s="379">
        <f>H35</f>
        <v>24426300</v>
      </c>
      <c r="I34" s="379">
        <f>I35</f>
        <v>24426300</v>
      </c>
      <c r="J34" s="385"/>
      <c r="K34" s="385"/>
    </row>
    <row r="35" spans="2:11" ht="45.75" customHeight="1">
      <c r="B35" s="203" t="s">
        <v>174</v>
      </c>
      <c r="C35" s="203"/>
      <c r="D35" s="193"/>
      <c r="E35" s="192" t="s">
        <v>353</v>
      </c>
      <c r="F35" s="377"/>
      <c r="G35" s="378"/>
      <c r="H35" s="379">
        <f>J35+I35</f>
        <v>24426300</v>
      </c>
      <c r="I35" s="379">
        <f>SUM(I36:I41)</f>
        <v>24426300</v>
      </c>
      <c r="J35" s="379">
        <f>SUM(J36:J40)</f>
        <v>0</v>
      </c>
      <c r="K35" s="379">
        <f>SUM(K36:K40)</f>
        <v>0</v>
      </c>
    </row>
    <row r="36" spans="1:11" s="41" customFormat="1" ht="59.25" customHeight="1">
      <c r="A36" s="40"/>
      <c r="B36" s="279" t="s">
        <v>28</v>
      </c>
      <c r="C36" s="387" t="s">
        <v>12</v>
      </c>
      <c r="D36" s="387" t="s">
        <v>53</v>
      </c>
      <c r="E36" s="196" t="s">
        <v>13</v>
      </c>
      <c r="F36" s="398" t="s">
        <v>467</v>
      </c>
      <c r="G36" s="567" t="s">
        <v>604</v>
      </c>
      <c r="H36" s="384">
        <f aca="true" t="shared" si="3" ref="H36:H41">I36</f>
        <v>15000000</v>
      </c>
      <c r="I36" s="384">
        <v>15000000</v>
      </c>
      <c r="J36" s="385"/>
      <c r="K36" s="385"/>
    </row>
    <row r="37" spans="2:11" ht="44.25" customHeight="1">
      <c r="B37" s="279" t="s">
        <v>26</v>
      </c>
      <c r="C37" s="387" t="s">
        <v>11</v>
      </c>
      <c r="D37" s="387" t="s">
        <v>33</v>
      </c>
      <c r="E37" s="710" t="s">
        <v>34</v>
      </c>
      <c r="F37" s="608" t="s">
        <v>389</v>
      </c>
      <c r="G37" s="567" t="s">
        <v>610</v>
      </c>
      <c r="H37" s="384">
        <f t="shared" si="3"/>
        <v>26300</v>
      </c>
      <c r="I37" s="384">
        <v>26300</v>
      </c>
      <c r="J37" s="385"/>
      <c r="K37" s="385"/>
    </row>
    <row r="38" spans="2:11" ht="41.25" customHeight="1">
      <c r="B38" s="279" t="s">
        <v>26</v>
      </c>
      <c r="C38" s="279" t="s">
        <v>11</v>
      </c>
      <c r="D38" s="208" t="s">
        <v>33</v>
      </c>
      <c r="E38" s="690"/>
      <c r="F38" s="608" t="s">
        <v>468</v>
      </c>
      <c r="G38" s="563" t="s">
        <v>611</v>
      </c>
      <c r="H38" s="384">
        <f t="shared" si="3"/>
        <v>50000</v>
      </c>
      <c r="I38" s="384">
        <v>50000</v>
      </c>
      <c r="J38" s="385"/>
      <c r="K38" s="385"/>
    </row>
    <row r="39" spans="2:11" ht="39.75" customHeight="1">
      <c r="B39" s="279" t="s">
        <v>381</v>
      </c>
      <c r="C39" s="279" t="s">
        <v>380</v>
      </c>
      <c r="D39" s="280" t="s">
        <v>50</v>
      </c>
      <c r="E39" s="173" t="s">
        <v>382</v>
      </c>
      <c r="F39" s="719" t="s">
        <v>521</v>
      </c>
      <c r="G39" s="722" t="s">
        <v>524</v>
      </c>
      <c r="H39" s="384">
        <f t="shared" si="3"/>
        <v>350000</v>
      </c>
      <c r="I39" s="384">
        <v>350000</v>
      </c>
      <c r="J39" s="385"/>
      <c r="K39" s="385"/>
    </row>
    <row r="40" spans="2:11" ht="52.5" customHeight="1">
      <c r="B40" s="279" t="s">
        <v>175</v>
      </c>
      <c r="C40" s="279" t="s">
        <v>78</v>
      </c>
      <c r="D40" s="387" t="s">
        <v>50</v>
      </c>
      <c r="E40" s="167" t="s">
        <v>41</v>
      </c>
      <c r="F40" s="720"/>
      <c r="G40" s="723"/>
      <c r="H40" s="384">
        <f t="shared" si="3"/>
        <v>8000000</v>
      </c>
      <c r="I40" s="384">
        <v>8000000</v>
      </c>
      <c r="J40" s="385"/>
      <c r="K40" s="385"/>
    </row>
    <row r="41" spans="2:11" ht="52.5" customHeight="1">
      <c r="B41" s="279" t="s">
        <v>520</v>
      </c>
      <c r="C41" s="279" t="s">
        <v>522</v>
      </c>
      <c r="D41" s="387" t="s">
        <v>50</v>
      </c>
      <c r="E41" s="167" t="s">
        <v>523</v>
      </c>
      <c r="F41" s="721"/>
      <c r="G41" s="724"/>
      <c r="H41" s="384">
        <f t="shared" si="3"/>
        <v>1000000</v>
      </c>
      <c r="I41" s="384">
        <v>1000000</v>
      </c>
      <c r="J41" s="385"/>
      <c r="K41" s="385"/>
    </row>
    <row r="42" spans="2:11" ht="31.5">
      <c r="B42" s="203" t="s">
        <v>40</v>
      </c>
      <c r="C42" s="203" t="s">
        <v>75</v>
      </c>
      <c r="D42" s="71"/>
      <c r="E42" s="205" t="s">
        <v>354</v>
      </c>
      <c r="F42" s="377"/>
      <c r="G42" s="571"/>
      <c r="H42" s="379">
        <f>H43</f>
        <v>2000000</v>
      </c>
      <c r="I42" s="379">
        <f>I43</f>
        <v>1950000</v>
      </c>
      <c r="J42" s="379">
        <f>J43</f>
        <v>50000</v>
      </c>
      <c r="K42" s="379">
        <f>K43</f>
        <v>50000</v>
      </c>
    </row>
    <row r="43" spans="2:11" ht="31.5">
      <c r="B43" s="203" t="s">
        <v>44</v>
      </c>
      <c r="C43" s="203"/>
      <c r="D43" s="71"/>
      <c r="E43" s="205" t="s">
        <v>342</v>
      </c>
      <c r="F43" s="377"/>
      <c r="G43" s="572"/>
      <c r="H43" s="379">
        <f>I43+J43</f>
        <v>2000000</v>
      </c>
      <c r="I43" s="379">
        <f>I44</f>
        <v>1950000</v>
      </c>
      <c r="J43" s="379">
        <f>J44</f>
        <v>50000</v>
      </c>
      <c r="K43" s="379">
        <f>K44</f>
        <v>50000</v>
      </c>
    </row>
    <row r="44" spans="2:11" ht="45" customHeight="1">
      <c r="B44" s="279" t="s">
        <v>17</v>
      </c>
      <c r="C44" s="279" t="s">
        <v>19</v>
      </c>
      <c r="D44" s="208" t="s">
        <v>59</v>
      </c>
      <c r="E44" s="209" t="s">
        <v>405</v>
      </c>
      <c r="F44" s="399" t="s">
        <v>410</v>
      </c>
      <c r="G44" s="563" t="s">
        <v>598</v>
      </c>
      <c r="H44" s="384">
        <f>I44+J44</f>
        <v>2000000</v>
      </c>
      <c r="I44" s="384">
        <v>1950000</v>
      </c>
      <c r="J44" s="385">
        <v>50000</v>
      </c>
      <c r="K44" s="385">
        <v>50000</v>
      </c>
    </row>
    <row r="45" spans="1:11" s="69" customFormat="1" ht="31.5">
      <c r="A45" s="68"/>
      <c r="B45" s="203" t="s">
        <v>213</v>
      </c>
      <c r="C45" s="203" t="s">
        <v>212</v>
      </c>
      <c r="D45" s="71"/>
      <c r="E45" s="205" t="s">
        <v>343</v>
      </c>
      <c r="F45" s="377"/>
      <c r="G45" s="378"/>
      <c r="H45" s="379">
        <f>J45+I45</f>
        <v>148984933</v>
      </c>
      <c r="I45" s="379">
        <f>I46</f>
        <v>121342533</v>
      </c>
      <c r="J45" s="368">
        <f>J46</f>
        <v>27642400</v>
      </c>
      <c r="K45" s="368">
        <f>K46</f>
        <v>27281800</v>
      </c>
    </row>
    <row r="46" spans="1:13" s="69" customFormat="1" ht="31.5">
      <c r="A46" s="68"/>
      <c r="B46" s="203" t="s">
        <v>214</v>
      </c>
      <c r="C46" s="203"/>
      <c r="D46" s="71"/>
      <c r="E46" s="205" t="s">
        <v>393</v>
      </c>
      <c r="F46" s="377"/>
      <c r="G46" s="378"/>
      <c r="H46" s="379">
        <f>J46+I46</f>
        <v>148984933</v>
      </c>
      <c r="I46" s="379">
        <f>SUM(I47:I65)</f>
        <v>121342533</v>
      </c>
      <c r="J46" s="379">
        <f>SUM(J47:J65)</f>
        <v>27642400</v>
      </c>
      <c r="K46" s="379">
        <f>SUM(K47:K65)</f>
        <v>27281800</v>
      </c>
      <c r="M46" s="546">
        <f>J46-K46</f>
        <v>360600</v>
      </c>
    </row>
    <row r="47" spans="2:13" ht="37.5" customHeight="1">
      <c r="B47" s="702" t="s">
        <v>25</v>
      </c>
      <c r="C47" s="702" t="s">
        <v>11</v>
      </c>
      <c r="D47" s="706" t="s">
        <v>33</v>
      </c>
      <c r="E47" s="717" t="s">
        <v>34</v>
      </c>
      <c r="F47" s="608" t="s">
        <v>527</v>
      </c>
      <c r="G47" s="563" t="s">
        <v>611</v>
      </c>
      <c r="H47" s="384">
        <f>I47+J47</f>
        <v>30000</v>
      </c>
      <c r="I47" s="384">
        <v>30000</v>
      </c>
      <c r="J47" s="385"/>
      <c r="K47" s="385"/>
      <c r="M47" s="17">
        <f>H52+H55+H58+H59</f>
        <v>37280975</v>
      </c>
    </row>
    <row r="48" spans="2:11" ht="71.25" customHeight="1">
      <c r="B48" s="703"/>
      <c r="C48" s="703"/>
      <c r="D48" s="707"/>
      <c r="E48" s="718"/>
      <c r="F48" s="395" t="s">
        <v>392</v>
      </c>
      <c r="G48" s="568" t="s">
        <v>612</v>
      </c>
      <c r="H48" s="384">
        <f>I48+J48</f>
        <v>50000</v>
      </c>
      <c r="I48" s="384">
        <v>50000</v>
      </c>
      <c r="J48" s="385"/>
      <c r="K48" s="385"/>
    </row>
    <row r="49" spans="1:11" s="11" customFormat="1" ht="81" customHeight="1">
      <c r="A49" s="10"/>
      <c r="B49" s="700" t="s">
        <v>231</v>
      </c>
      <c r="C49" s="700" t="s">
        <v>232</v>
      </c>
      <c r="D49" s="725" t="s">
        <v>60</v>
      </c>
      <c r="E49" s="712" t="s">
        <v>233</v>
      </c>
      <c r="F49" s="607" t="s">
        <v>585</v>
      </c>
      <c r="G49" s="568" t="s">
        <v>582</v>
      </c>
      <c r="H49" s="384">
        <f>I49+J49</f>
        <v>10400000</v>
      </c>
      <c r="I49" s="384">
        <v>1520000</v>
      </c>
      <c r="J49" s="385">
        <v>8880000</v>
      </c>
      <c r="K49" s="385">
        <v>8880000</v>
      </c>
    </row>
    <row r="50" spans="1:11" s="11" customFormat="1" ht="53.25" customHeight="1">
      <c r="A50" s="10"/>
      <c r="B50" s="700"/>
      <c r="C50" s="700"/>
      <c r="D50" s="725"/>
      <c r="E50" s="712"/>
      <c r="F50" s="607" t="s">
        <v>528</v>
      </c>
      <c r="G50" s="568" t="s">
        <v>605</v>
      </c>
      <c r="H50" s="384">
        <f aca="true" t="shared" si="4" ref="H50:H60">I50+J50</f>
        <v>1600000</v>
      </c>
      <c r="I50" s="384">
        <v>1600000</v>
      </c>
      <c r="J50" s="385"/>
      <c r="K50" s="385"/>
    </row>
    <row r="51" spans="1:11" s="11" customFormat="1" ht="48" customHeight="1">
      <c r="A51" s="10"/>
      <c r="B51" s="279" t="s">
        <v>239</v>
      </c>
      <c r="C51" s="279" t="s">
        <v>240</v>
      </c>
      <c r="D51" s="208" t="s">
        <v>242</v>
      </c>
      <c r="E51" s="210" t="s">
        <v>241</v>
      </c>
      <c r="F51" s="729" t="s">
        <v>601</v>
      </c>
      <c r="G51" s="727" t="s">
        <v>600</v>
      </c>
      <c r="H51" s="384">
        <f t="shared" si="4"/>
        <v>5601800</v>
      </c>
      <c r="I51" s="384">
        <v>500000</v>
      </c>
      <c r="J51" s="386">
        <v>5101800</v>
      </c>
      <c r="K51" s="386">
        <v>5101800</v>
      </c>
    </row>
    <row r="52" spans="1:11" s="11" customFormat="1" ht="43.5" customHeight="1">
      <c r="A52" s="10"/>
      <c r="B52" s="279" t="s">
        <v>411</v>
      </c>
      <c r="C52" s="279" t="s">
        <v>9</v>
      </c>
      <c r="D52" s="208" t="s">
        <v>281</v>
      </c>
      <c r="E52" s="210" t="s">
        <v>412</v>
      </c>
      <c r="F52" s="730"/>
      <c r="G52" s="728"/>
      <c r="H52" s="384">
        <f t="shared" si="4"/>
        <v>200000</v>
      </c>
      <c r="I52" s="384">
        <v>200000</v>
      </c>
      <c r="J52" s="386"/>
      <c r="K52" s="386"/>
    </row>
    <row r="53" spans="2:11" ht="71.25" customHeight="1">
      <c r="B53" s="279" t="s">
        <v>222</v>
      </c>
      <c r="C53" s="279" t="s">
        <v>80</v>
      </c>
      <c r="D53" s="208" t="s">
        <v>60</v>
      </c>
      <c r="E53" s="210" t="s">
        <v>223</v>
      </c>
      <c r="F53" s="607" t="s">
        <v>529</v>
      </c>
      <c r="G53" s="568" t="s">
        <v>613</v>
      </c>
      <c r="H53" s="384">
        <f t="shared" si="4"/>
        <v>1200000</v>
      </c>
      <c r="I53" s="384">
        <v>1200000</v>
      </c>
      <c r="J53" s="385"/>
      <c r="K53" s="385"/>
    </row>
    <row r="54" spans="2:11" ht="36.75" customHeight="1">
      <c r="B54" s="279" t="s">
        <v>222</v>
      </c>
      <c r="C54" s="279" t="s">
        <v>80</v>
      </c>
      <c r="D54" s="208" t="s">
        <v>60</v>
      </c>
      <c r="E54" s="210" t="s">
        <v>223</v>
      </c>
      <c r="F54" s="713" t="s">
        <v>530</v>
      </c>
      <c r="G54" s="727" t="s">
        <v>589</v>
      </c>
      <c r="H54" s="384">
        <f t="shared" si="4"/>
        <v>87361558</v>
      </c>
      <c r="I54" s="384">
        <f>82464999+1560820+300000+1700000+1335739</f>
        <v>87361558</v>
      </c>
      <c r="J54" s="385"/>
      <c r="K54" s="385"/>
    </row>
    <row r="55" spans="2:11" ht="47.25">
      <c r="B55" s="279" t="s">
        <v>5</v>
      </c>
      <c r="C55" s="279" t="s">
        <v>6</v>
      </c>
      <c r="D55" s="172" t="s">
        <v>7</v>
      </c>
      <c r="E55" s="210" t="s">
        <v>8</v>
      </c>
      <c r="F55" s="713"/>
      <c r="G55" s="728"/>
      <c r="H55" s="384">
        <f t="shared" si="4"/>
        <v>23480975</v>
      </c>
      <c r="I55" s="327">
        <f>6085534+943400+900000-1000000-300000+7594841+8000000+1257200</f>
        <v>23480975</v>
      </c>
      <c r="J55" s="385"/>
      <c r="K55" s="385"/>
    </row>
    <row r="56" spans="1:11" s="11" customFormat="1" ht="99.75" customHeight="1">
      <c r="A56" s="10"/>
      <c r="B56" s="279" t="s">
        <v>244</v>
      </c>
      <c r="C56" s="279" t="s">
        <v>245</v>
      </c>
      <c r="D56" s="208" t="s">
        <v>242</v>
      </c>
      <c r="E56" s="210" t="s">
        <v>246</v>
      </c>
      <c r="F56" s="395" t="s">
        <v>531</v>
      </c>
      <c r="G56" s="568" t="s">
        <v>614</v>
      </c>
      <c r="H56" s="384">
        <f t="shared" si="4"/>
        <v>1200000</v>
      </c>
      <c r="I56" s="384">
        <v>1200000</v>
      </c>
      <c r="J56" s="385"/>
      <c r="K56" s="385"/>
    </row>
    <row r="57" spans="2:11" ht="47.25" customHeight="1">
      <c r="B57" s="279" t="s">
        <v>239</v>
      </c>
      <c r="C57" s="279" t="s">
        <v>240</v>
      </c>
      <c r="D57" s="208" t="s">
        <v>242</v>
      </c>
      <c r="E57" s="210" t="s">
        <v>241</v>
      </c>
      <c r="F57" s="726" t="s">
        <v>603</v>
      </c>
      <c r="G57" s="727" t="s">
        <v>602</v>
      </c>
      <c r="H57" s="384">
        <f t="shared" si="4"/>
        <v>2000000</v>
      </c>
      <c r="I57" s="384">
        <v>2000000</v>
      </c>
      <c r="J57" s="385"/>
      <c r="K57" s="385"/>
    </row>
    <row r="58" spans="2:11" ht="40.5" customHeight="1">
      <c r="B58" s="279" t="s">
        <v>243</v>
      </c>
      <c r="C58" s="279" t="s">
        <v>216</v>
      </c>
      <c r="D58" s="208" t="s">
        <v>82</v>
      </c>
      <c r="E58" s="388" t="s">
        <v>170</v>
      </c>
      <c r="F58" s="726"/>
      <c r="G58" s="728"/>
      <c r="H58" s="384">
        <f t="shared" si="4"/>
        <v>12000000</v>
      </c>
      <c r="I58" s="384"/>
      <c r="J58" s="384">
        <v>12000000</v>
      </c>
      <c r="K58" s="384">
        <v>12000000</v>
      </c>
    </row>
    <row r="59" spans="1:13" s="11" customFormat="1" ht="66.75" customHeight="1">
      <c r="A59" s="10"/>
      <c r="B59" s="279" t="s">
        <v>224</v>
      </c>
      <c r="C59" s="279" t="s">
        <v>225</v>
      </c>
      <c r="D59" s="208" t="s">
        <v>61</v>
      </c>
      <c r="E59" s="388" t="s">
        <v>226</v>
      </c>
      <c r="F59" s="395" t="s">
        <v>391</v>
      </c>
      <c r="G59" s="568" t="s">
        <v>591</v>
      </c>
      <c r="H59" s="384">
        <f t="shared" si="4"/>
        <v>1600000</v>
      </c>
      <c r="I59" s="384">
        <v>1600000</v>
      </c>
      <c r="J59" s="385"/>
      <c r="K59" s="385"/>
      <c r="M59" s="9"/>
    </row>
    <row r="60" spans="1:11" ht="63" customHeight="1">
      <c r="A60" s="30"/>
      <c r="B60" s="279" t="s">
        <v>228</v>
      </c>
      <c r="C60" s="279" t="s">
        <v>227</v>
      </c>
      <c r="D60" s="208" t="s">
        <v>229</v>
      </c>
      <c r="E60" s="210" t="s">
        <v>230</v>
      </c>
      <c r="F60" s="612" t="s">
        <v>532</v>
      </c>
      <c r="G60" s="568" t="s">
        <v>590</v>
      </c>
      <c r="H60" s="384">
        <f t="shared" si="4"/>
        <v>160600</v>
      </c>
      <c r="I60" s="384"/>
      <c r="J60" s="385">
        <v>160600</v>
      </c>
      <c r="K60" s="385"/>
    </row>
    <row r="61" spans="1:11" s="41" customFormat="1" ht="26.25" customHeight="1">
      <c r="A61" s="40"/>
      <c r="B61" s="560" t="s">
        <v>559</v>
      </c>
      <c r="C61" s="560" t="s">
        <v>64</v>
      </c>
      <c r="D61" s="561" t="s">
        <v>55</v>
      </c>
      <c r="E61" s="562" t="s">
        <v>185</v>
      </c>
      <c r="F61" s="694" t="s">
        <v>533</v>
      </c>
      <c r="G61" s="697" t="s">
        <v>588</v>
      </c>
      <c r="H61" s="389">
        <f>I61+J61</f>
        <v>100000</v>
      </c>
      <c r="I61" s="384">
        <v>100000</v>
      </c>
      <c r="J61" s="385"/>
      <c r="K61" s="385"/>
    </row>
    <row r="62" spans="1:11" s="41" customFormat="1" ht="30" customHeight="1">
      <c r="A62" s="40"/>
      <c r="B62" s="560" t="s">
        <v>411</v>
      </c>
      <c r="C62" s="561" t="s">
        <v>9</v>
      </c>
      <c r="D62" s="561" t="s">
        <v>281</v>
      </c>
      <c r="E62" s="562" t="s">
        <v>10</v>
      </c>
      <c r="F62" s="695"/>
      <c r="G62" s="698"/>
      <c r="H62" s="389">
        <f>I62+J62</f>
        <v>500000</v>
      </c>
      <c r="I62" s="384">
        <v>500000</v>
      </c>
      <c r="J62" s="385"/>
      <c r="K62" s="385"/>
    </row>
    <row r="63" spans="1:13" s="41" customFormat="1" ht="40.5" customHeight="1">
      <c r="A63" s="40"/>
      <c r="B63" s="560" t="s">
        <v>558</v>
      </c>
      <c r="C63" s="561" t="s">
        <v>220</v>
      </c>
      <c r="D63" s="561" t="s">
        <v>221</v>
      </c>
      <c r="E63" s="630" t="s">
        <v>781</v>
      </c>
      <c r="F63" s="695"/>
      <c r="G63" s="698"/>
      <c r="H63" s="389">
        <f>I63+J63</f>
        <v>1000000</v>
      </c>
      <c r="I63" s="390"/>
      <c r="J63" s="385">
        <v>1000000</v>
      </c>
      <c r="K63" s="385">
        <v>1000000</v>
      </c>
      <c r="M63" s="9"/>
    </row>
    <row r="64" spans="1:11" s="41" customFormat="1" ht="33" customHeight="1">
      <c r="A64" s="40"/>
      <c r="B64" s="560" t="s">
        <v>556</v>
      </c>
      <c r="C64" s="561" t="s">
        <v>255</v>
      </c>
      <c r="D64" s="561" t="s">
        <v>61</v>
      </c>
      <c r="E64" s="564" t="s">
        <v>256</v>
      </c>
      <c r="F64" s="695"/>
      <c r="G64" s="698"/>
      <c r="H64" s="389">
        <f>I64+J64</f>
        <v>300000</v>
      </c>
      <c r="I64" s="390"/>
      <c r="J64" s="385">
        <v>300000</v>
      </c>
      <c r="K64" s="385">
        <v>300000</v>
      </c>
    </row>
    <row r="65" spans="2:11" ht="28.5" customHeight="1">
      <c r="B65" s="560" t="s">
        <v>552</v>
      </c>
      <c r="C65" s="171">
        <v>8311</v>
      </c>
      <c r="D65" s="560" t="s">
        <v>385</v>
      </c>
      <c r="E65" s="173" t="s">
        <v>386</v>
      </c>
      <c r="F65" s="696"/>
      <c r="G65" s="699"/>
      <c r="H65" s="389">
        <f>I65+J65</f>
        <v>200000</v>
      </c>
      <c r="I65" s="390"/>
      <c r="J65" s="385">
        <v>200000</v>
      </c>
      <c r="K65" s="385"/>
    </row>
    <row r="66" spans="2:11" ht="31.5">
      <c r="B66" s="203" t="s">
        <v>180</v>
      </c>
      <c r="C66" s="203" t="s">
        <v>181</v>
      </c>
      <c r="D66" s="216"/>
      <c r="E66" s="192" t="s">
        <v>347</v>
      </c>
      <c r="F66" s="544"/>
      <c r="G66" s="545"/>
      <c r="H66" s="392">
        <f>H67</f>
        <v>10325233</v>
      </c>
      <c r="I66" s="392">
        <f aca="true" t="shared" si="5" ref="I66:K67">I67</f>
        <v>10325233</v>
      </c>
      <c r="J66" s="392">
        <f t="shared" si="5"/>
        <v>0</v>
      </c>
      <c r="K66" s="392">
        <f t="shared" si="5"/>
        <v>0</v>
      </c>
    </row>
    <row r="67" spans="2:11" ht="31.5">
      <c r="B67" s="203" t="s">
        <v>182</v>
      </c>
      <c r="C67" s="203"/>
      <c r="D67" s="216"/>
      <c r="E67" s="192" t="s">
        <v>348</v>
      </c>
      <c r="F67" s="544"/>
      <c r="G67" s="545"/>
      <c r="H67" s="392">
        <f>H68</f>
        <v>10325233</v>
      </c>
      <c r="I67" s="392">
        <f t="shared" si="5"/>
        <v>10325233</v>
      </c>
      <c r="J67" s="392">
        <f t="shared" si="5"/>
        <v>0</v>
      </c>
      <c r="K67" s="392">
        <f t="shared" si="5"/>
        <v>0</v>
      </c>
    </row>
    <row r="68" spans="2:11" ht="40.5" customHeight="1">
      <c r="B68" s="279" t="s">
        <v>440</v>
      </c>
      <c r="C68" s="171" t="s">
        <v>441</v>
      </c>
      <c r="D68" s="279" t="s">
        <v>442</v>
      </c>
      <c r="E68" s="173" t="s">
        <v>443</v>
      </c>
      <c r="F68" s="565" t="s">
        <v>446</v>
      </c>
      <c r="G68" s="566" t="s">
        <v>615</v>
      </c>
      <c r="H68" s="389">
        <f>I68+J68</f>
        <v>10325233</v>
      </c>
      <c r="I68" s="384">
        <v>10325233</v>
      </c>
      <c r="J68" s="385"/>
      <c r="K68" s="385"/>
    </row>
    <row r="69" spans="1:13" s="13" customFormat="1" ht="33.75" customHeight="1">
      <c r="A69" s="29"/>
      <c r="B69" s="367"/>
      <c r="C69" s="71"/>
      <c r="D69" s="71"/>
      <c r="E69" s="202" t="s">
        <v>269</v>
      </c>
      <c r="F69" s="391"/>
      <c r="G69" s="573"/>
      <c r="H69" s="392">
        <f>I69+J69</f>
        <v>231401206</v>
      </c>
      <c r="I69" s="368">
        <f>I45+I42+I34+I24+I10+I66</f>
        <v>199141246</v>
      </c>
      <c r="J69" s="604">
        <f>J45+J42+J34+J24+J10+J66</f>
        <v>32259960</v>
      </c>
      <c r="K69" s="604">
        <f>K45+K42+K34+K24+K10+K66</f>
        <v>31899360</v>
      </c>
      <c r="M69" s="546">
        <f>J69-K69</f>
        <v>360600</v>
      </c>
    </row>
    <row r="70" spans="8:11" ht="15.75">
      <c r="H70" s="64"/>
      <c r="I70" s="64"/>
      <c r="J70" s="65"/>
      <c r="K70" s="66"/>
    </row>
    <row r="71" spans="2:11" ht="23.25" customHeight="1">
      <c r="B71" s="42"/>
      <c r="C71" s="42"/>
      <c r="D71" s="42"/>
      <c r="E71" s="42"/>
      <c r="F71" s="107"/>
      <c r="G71" s="42"/>
      <c r="H71" s="239"/>
      <c r="I71" s="239"/>
      <c r="J71" s="239"/>
      <c r="K71" s="239"/>
    </row>
    <row r="72" spans="2:17" ht="20.25" customHeight="1">
      <c r="B72" s="43"/>
      <c r="C72" s="43"/>
      <c r="D72" s="43"/>
      <c r="E72" s="43"/>
      <c r="F72" s="108"/>
      <c r="G72" s="43"/>
      <c r="H72" s="43"/>
      <c r="I72" s="43"/>
      <c r="J72" s="44"/>
      <c r="K72" s="237"/>
      <c r="L72" s="43"/>
      <c r="M72" s="43"/>
      <c r="N72" s="43"/>
      <c r="O72" s="43"/>
      <c r="P72" s="43"/>
      <c r="Q72" s="43"/>
    </row>
    <row r="73" spans="1:17" s="55" customFormat="1" ht="20.25" customHeight="1">
      <c r="A73" s="61"/>
      <c r="B73" s="62"/>
      <c r="C73" s="62"/>
      <c r="D73" s="62"/>
      <c r="E73" s="63" t="s">
        <v>43</v>
      </c>
      <c r="F73" s="109"/>
      <c r="G73" s="62"/>
      <c r="H73" s="55" t="s">
        <v>419</v>
      </c>
      <c r="I73" s="62"/>
      <c r="J73" s="238"/>
      <c r="K73" s="62"/>
      <c r="L73" s="62"/>
      <c r="M73" s="62"/>
      <c r="N73" s="62"/>
      <c r="O73" s="62"/>
      <c r="P73" s="62"/>
      <c r="Q73" s="62"/>
    </row>
    <row r="74" spans="2:17" ht="30.75" customHeight="1">
      <c r="B74" s="43"/>
      <c r="C74" s="43"/>
      <c r="D74" s="43"/>
      <c r="E74" s="43"/>
      <c r="F74" s="108"/>
      <c r="G74" s="43"/>
      <c r="H74" s="43"/>
      <c r="I74" s="43"/>
      <c r="J74" s="400"/>
      <c r="K74" s="43"/>
      <c r="L74" s="43"/>
      <c r="M74" s="43"/>
      <c r="N74" s="43"/>
      <c r="O74" s="43"/>
      <c r="P74" s="43"/>
      <c r="Q74" s="43"/>
    </row>
    <row r="75" spans="2:17" ht="21" customHeight="1">
      <c r="B75" s="43"/>
      <c r="C75" s="43"/>
      <c r="D75" s="43"/>
      <c r="E75" s="43"/>
      <c r="F75" s="108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81" ht="15.75">
      <c r="J81" s="105"/>
    </row>
  </sheetData>
  <sheetProtection/>
  <autoFilter ref="A8:Q69"/>
  <mergeCells count="54">
    <mergeCell ref="B49:B50"/>
    <mergeCell ref="C49:C50"/>
    <mergeCell ref="D49:D50"/>
    <mergeCell ref="E49:E50"/>
    <mergeCell ref="F57:F58"/>
    <mergeCell ref="G57:G58"/>
    <mergeCell ref="G54:G55"/>
    <mergeCell ref="F51:F52"/>
    <mergeCell ref="G51:G52"/>
    <mergeCell ref="F54:F55"/>
    <mergeCell ref="B47:B48"/>
    <mergeCell ref="C47:C48"/>
    <mergeCell ref="D47:D48"/>
    <mergeCell ref="E47:E48"/>
    <mergeCell ref="F39:F41"/>
    <mergeCell ref="G39:G41"/>
    <mergeCell ref="F26:F27"/>
    <mergeCell ref="G26:G27"/>
    <mergeCell ref="B30:B31"/>
    <mergeCell ref="C30:C31"/>
    <mergeCell ref="D30:D31"/>
    <mergeCell ref="E30:E31"/>
    <mergeCell ref="F28:F29"/>
    <mergeCell ref="G28:G29"/>
    <mergeCell ref="J7:K7"/>
    <mergeCell ref="G2:K2"/>
    <mergeCell ref="I7:I8"/>
    <mergeCell ref="G7:G8"/>
    <mergeCell ref="G14:G15"/>
    <mergeCell ref="F14:F15"/>
    <mergeCell ref="F7:F8"/>
    <mergeCell ref="D21:D22"/>
    <mergeCell ref="E21:E22"/>
    <mergeCell ref="B18:B19"/>
    <mergeCell ref="E37:E38"/>
    <mergeCell ref="D18:D19"/>
    <mergeCell ref="E18:E19"/>
    <mergeCell ref="C18:C19"/>
    <mergeCell ref="B1:I1"/>
    <mergeCell ref="H7:H8"/>
    <mergeCell ref="B7:B8"/>
    <mergeCell ref="C7:C8"/>
    <mergeCell ref="D7:D8"/>
    <mergeCell ref="E7:E8"/>
    <mergeCell ref="E12:E13"/>
    <mergeCell ref="E5:F5"/>
    <mergeCell ref="B4:K4"/>
    <mergeCell ref="C12:C13"/>
    <mergeCell ref="D12:D13"/>
    <mergeCell ref="F61:F65"/>
    <mergeCell ref="G61:G65"/>
    <mergeCell ref="B12:B13"/>
    <mergeCell ref="B21:B22"/>
    <mergeCell ref="C21:C22"/>
  </mergeCells>
  <printOptions/>
  <pageMargins left="0.2362204724409449" right="0.1968503937007874" top="0.4724409448818898" bottom="0.2755905511811024" header="0.2362204724409449" footer="0.2755905511811024"/>
  <pageSetup fitToHeight="4" fitToWidth="1" horizontalDpi="600" verticalDpi="600" orientation="landscape" paperSize="9" scale="52" r:id="rId1"/>
  <rowBreaks count="6" manualBreakCount="6">
    <brk id="44" max="10" man="1"/>
    <brk id="46" max="10" man="1"/>
    <brk id="53" max="10" man="1"/>
    <brk id="71" max="10" man="1"/>
    <brk id="87" min="1" max="11" man="1"/>
    <brk id="91" min="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zoomScaleNormal="75" zoomScaleSheetLayoutView="100" zoomScalePageLayoutView="0" workbookViewId="0" topLeftCell="B25">
      <selection activeCell="E27" sqref="E27"/>
    </sheetView>
  </sheetViews>
  <sheetFormatPr defaultColWidth="7.875" defaultRowHeight="12.75"/>
  <cols>
    <col min="1" max="1" width="3.25390625" style="7" hidden="1" customWidth="1"/>
    <col min="2" max="2" width="14.125" style="32" customWidth="1"/>
    <col min="3" max="3" width="15.25390625" style="32" customWidth="1"/>
    <col min="4" max="4" width="20.00390625" style="32" customWidth="1"/>
    <col min="5" max="5" width="57.875" style="32" customWidth="1"/>
    <col min="6" max="6" width="18.125" style="32" customWidth="1"/>
    <col min="7" max="7" width="6.75390625" style="8" customWidth="1"/>
    <col min="8" max="16384" width="7.875" style="9" customWidth="1"/>
  </cols>
  <sheetData>
    <row r="1" spans="2:6" ht="13.5" customHeight="1">
      <c r="B1" s="704"/>
      <c r="C1" s="704"/>
      <c r="D1" s="704"/>
      <c r="E1" s="704"/>
      <c r="F1" s="704"/>
    </row>
    <row r="2" spans="4:8" ht="84" customHeight="1">
      <c r="D2" s="15"/>
      <c r="E2" s="732" t="s">
        <v>541</v>
      </c>
      <c r="F2" s="732"/>
      <c r="G2" s="732"/>
      <c r="H2" s="47"/>
    </row>
    <row r="3" spans="4:8" ht="15.75">
      <c r="D3" s="57"/>
      <c r="E3" s="116" t="s">
        <v>355</v>
      </c>
      <c r="F3" s="57"/>
      <c r="G3" s="47"/>
      <c r="H3" s="47"/>
    </row>
    <row r="4" spans="4:8" ht="15.75">
      <c r="D4" s="57"/>
      <c r="E4" s="116"/>
      <c r="F4" s="57"/>
      <c r="G4" s="47"/>
      <c r="H4" s="47"/>
    </row>
    <row r="5" spans="3:8" ht="68.25" customHeight="1">
      <c r="C5" s="736" t="s">
        <v>562</v>
      </c>
      <c r="D5" s="736"/>
      <c r="E5" s="736"/>
      <c r="F5" s="57"/>
      <c r="G5" s="47"/>
      <c r="H5" s="47"/>
    </row>
    <row r="6" spans="3:8" ht="26.25" customHeight="1">
      <c r="C6" s="112"/>
      <c r="D6" s="112"/>
      <c r="E6" s="112"/>
      <c r="F6" s="57"/>
      <c r="G6" s="47"/>
      <c r="H6" s="47"/>
    </row>
    <row r="7" spans="2:6" ht="18.75">
      <c r="B7" s="733" t="s">
        <v>365</v>
      </c>
      <c r="C7" s="733"/>
      <c r="D7" s="152"/>
      <c r="E7" s="150"/>
      <c r="F7" s="152"/>
    </row>
    <row r="8" spans="2:6" ht="18.75">
      <c r="B8" s="734" t="s">
        <v>310</v>
      </c>
      <c r="C8" s="734"/>
      <c r="D8" s="111"/>
      <c r="E8" s="151"/>
      <c r="F8" s="111"/>
    </row>
    <row r="9" spans="2:6" ht="15.75">
      <c r="B9" s="94"/>
      <c r="C9" s="95"/>
      <c r="D9" s="95"/>
      <c r="E9" s="95"/>
      <c r="F9" s="96" t="s">
        <v>83</v>
      </c>
    </row>
    <row r="10" spans="1:6" ht="118.5" customHeight="1">
      <c r="A10" s="36"/>
      <c r="B10" s="737" t="s">
        <v>275</v>
      </c>
      <c r="C10" s="737" t="s">
        <v>276</v>
      </c>
      <c r="D10" s="737" t="s">
        <v>277</v>
      </c>
      <c r="E10" s="737" t="s">
        <v>278</v>
      </c>
      <c r="F10" s="731" t="s">
        <v>273</v>
      </c>
    </row>
    <row r="11" spans="1:7" s="38" customFormat="1" ht="15.75">
      <c r="A11" s="37"/>
      <c r="B11" s="737"/>
      <c r="C11" s="737"/>
      <c r="D11" s="737"/>
      <c r="E11" s="737"/>
      <c r="F11" s="731"/>
      <c r="G11" s="19"/>
    </row>
    <row r="12" spans="1:7" s="38" customFormat="1" ht="15.75">
      <c r="A12" s="37"/>
      <c r="B12" s="21">
        <v>1</v>
      </c>
      <c r="C12" s="21">
        <f>B12+1</f>
        <v>2</v>
      </c>
      <c r="D12" s="149">
        <f>C12+1</f>
        <v>3</v>
      </c>
      <c r="E12" s="21">
        <f>D12+1</f>
        <v>4</v>
      </c>
      <c r="F12" s="21">
        <f>E12+1</f>
        <v>5</v>
      </c>
      <c r="G12" s="19"/>
    </row>
    <row r="13" spans="1:7" s="16" customFormat="1" ht="38.25" customHeight="1">
      <c r="A13" s="39"/>
      <c r="B13" s="72" t="s">
        <v>294</v>
      </c>
      <c r="C13" s="72" t="s">
        <v>295</v>
      </c>
      <c r="D13" s="73"/>
      <c r="E13" s="74" t="s">
        <v>292</v>
      </c>
      <c r="F13" s="80">
        <f>F14</f>
        <v>240500</v>
      </c>
      <c r="G13" s="8"/>
    </row>
    <row r="14" spans="1:7" s="13" customFormat="1" ht="42.75" customHeight="1">
      <c r="A14" s="29"/>
      <c r="B14" s="72" t="s">
        <v>297</v>
      </c>
      <c r="C14" s="72"/>
      <c r="D14" s="73"/>
      <c r="E14" s="74" t="s">
        <v>293</v>
      </c>
      <c r="F14" s="80">
        <f>F15</f>
        <v>240500</v>
      </c>
      <c r="G14" s="12"/>
    </row>
    <row r="15" spans="2:6" ht="110.25">
      <c r="B15" s="90" t="s">
        <v>304</v>
      </c>
      <c r="C15" s="90" t="s">
        <v>14</v>
      </c>
      <c r="D15" s="91" t="s">
        <v>61</v>
      </c>
      <c r="E15" s="98" t="s">
        <v>274</v>
      </c>
      <c r="F15" s="70">
        <f>F16</f>
        <v>240500</v>
      </c>
    </row>
    <row r="16" spans="2:6" ht="47.25">
      <c r="B16" s="90"/>
      <c r="C16" s="90"/>
      <c r="D16" s="101"/>
      <c r="E16" s="98" t="s">
        <v>438</v>
      </c>
      <c r="F16" s="70">
        <f>F17</f>
        <v>240500</v>
      </c>
    </row>
    <row r="17" spans="1:7" s="11" customFormat="1" ht="31.5">
      <c r="A17" s="10"/>
      <c r="B17" s="67"/>
      <c r="C17" s="67"/>
      <c r="D17" s="161"/>
      <c r="E17" s="97" t="s">
        <v>373</v>
      </c>
      <c r="F17" s="162">
        <v>240500</v>
      </c>
      <c r="G17" s="163"/>
    </row>
    <row r="18" spans="1:7" s="11" customFormat="1" ht="31.5">
      <c r="A18" s="10"/>
      <c r="B18" s="203" t="s">
        <v>173</v>
      </c>
      <c r="C18" s="203" t="s">
        <v>172</v>
      </c>
      <c r="D18" s="216"/>
      <c r="E18" s="192" t="s">
        <v>339</v>
      </c>
      <c r="F18" s="206">
        <f>F19</f>
        <v>115000</v>
      </c>
      <c r="G18" s="163"/>
    </row>
    <row r="19" spans="1:7" s="11" customFormat="1" ht="47.25">
      <c r="A19" s="10"/>
      <c r="B19" s="203" t="s">
        <v>174</v>
      </c>
      <c r="C19" s="203"/>
      <c r="D19" s="216"/>
      <c r="E19" s="175" t="s">
        <v>340</v>
      </c>
      <c r="F19" s="206">
        <f>F20</f>
        <v>115000</v>
      </c>
      <c r="G19" s="163"/>
    </row>
    <row r="20" spans="1:7" s="11" customFormat="1" ht="110.25">
      <c r="A20" s="10"/>
      <c r="B20" s="207" t="s">
        <v>439</v>
      </c>
      <c r="C20" s="207" t="s">
        <v>14</v>
      </c>
      <c r="D20" s="208" t="s">
        <v>61</v>
      </c>
      <c r="E20" s="98" t="s">
        <v>274</v>
      </c>
      <c r="F20" s="92">
        <f>F21</f>
        <v>115000</v>
      </c>
      <c r="G20" s="163"/>
    </row>
    <row r="21" spans="1:7" s="11" customFormat="1" ht="47.25">
      <c r="A21" s="10"/>
      <c r="B21" s="200"/>
      <c r="C21" s="207"/>
      <c r="D21" s="208"/>
      <c r="E21" s="98" t="s">
        <v>438</v>
      </c>
      <c r="F21" s="92">
        <f>F22</f>
        <v>115000</v>
      </c>
      <c r="G21" s="163"/>
    </row>
    <row r="22" spans="1:7" s="11" customFormat="1" ht="31.5">
      <c r="A22" s="10"/>
      <c r="B22" s="200"/>
      <c r="C22" s="200"/>
      <c r="D22" s="161"/>
      <c r="E22" s="97" t="s">
        <v>373</v>
      </c>
      <c r="F22" s="162">
        <v>115000</v>
      </c>
      <c r="G22" s="163"/>
    </row>
    <row r="23" spans="1:7" s="13" customFormat="1" ht="36.75" customHeight="1">
      <c r="A23" s="29"/>
      <c r="B23" s="203" t="s">
        <v>213</v>
      </c>
      <c r="C23" s="203" t="s">
        <v>212</v>
      </c>
      <c r="D23" s="204"/>
      <c r="E23" s="205" t="s">
        <v>343</v>
      </c>
      <c r="F23" s="80">
        <f>F24</f>
        <v>60000</v>
      </c>
      <c r="G23" s="12"/>
    </row>
    <row r="24" spans="1:7" s="13" customFormat="1" ht="51.75" customHeight="1">
      <c r="A24" s="29"/>
      <c r="B24" s="203" t="s">
        <v>214</v>
      </c>
      <c r="C24" s="203"/>
      <c r="D24" s="204"/>
      <c r="E24" s="205" t="s">
        <v>344</v>
      </c>
      <c r="F24" s="80">
        <f>F25</f>
        <v>60000</v>
      </c>
      <c r="G24" s="12"/>
    </row>
    <row r="25" spans="2:6" ht="110.25">
      <c r="B25" s="569" t="s">
        <v>557</v>
      </c>
      <c r="C25" s="569" t="s">
        <v>14</v>
      </c>
      <c r="D25" s="570" t="s">
        <v>61</v>
      </c>
      <c r="E25" s="98" t="s">
        <v>274</v>
      </c>
      <c r="F25" s="92">
        <f>F26</f>
        <v>60000</v>
      </c>
    </row>
    <row r="26" spans="2:6" ht="47.25">
      <c r="B26" s="67"/>
      <c r="C26" s="90"/>
      <c r="D26" s="91"/>
      <c r="E26" s="98" t="s">
        <v>438</v>
      </c>
      <c r="F26" s="92">
        <f>F27</f>
        <v>60000</v>
      </c>
    </row>
    <row r="27" spans="2:6" ht="31.5">
      <c r="B27" s="67"/>
      <c r="C27" s="90"/>
      <c r="D27" s="101"/>
      <c r="E27" s="97" t="s">
        <v>373</v>
      </c>
      <c r="F27" s="92">
        <v>60000</v>
      </c>
    </row>
    <row r="28" spans="2:6" ht="33.75" customHeight="1">
      <c r="B28" s="89"/>
      <c r="C28" s="71"/>
      <c r="D28" s="71"/>
      <c r="E28" s="89" t="s">
        <v>269</v>
      </c>
      <c r="F28" s="93">
        <f>F13+F23+F19</f>
        <v>415500</v>
      </c>
    </row>
    <row r="30" spans="2:6" ht="23.25" customHeight="1">
      <c r="B30" s="45" t="s">
        <v>43</v>
      </c>
      <c r="C30" s="9"/>
      <c r="D30" s="9"/>
      <c r="E30" s="354" t="s">
        <v>419</v>
      </c>
      <c r="F30" s="9"/>
    </row>
    <row r="31" spans="2:14" ht="20.25" customHeight="1">
      <c r="B31" s="735"/>
      <c r="C31" s="735"/>
      <c r="D31" s="735"/>
      <c r="E31" s="735"/>
      <c r="F31" s="735"/>
      <c r="G31" s="44"/>
      <c r="H31" s="43"/>
      <c r="I31" s="43"/>
      <c r="J31" s="43"/>
      <c r="K31" s="43"/>
      <c r="L31" s="43"/>
      <c r="M31" s="43"/>
      <c r="N31" s="43"/>
    </row>
    <row r="32" spans="2:14" ht="20.25" customHeight="1">
      <c r="B32" s="645"/>
      <c r="C32" s="645"/>
      <c r="D32" s="645"/>
      <c r="E32" s="645"/>
      <c r="F32" s="645"/>
      <c r="G32" s="645"/>
      <c r="H32" s="645"/>
      <c r="I32" s="645"/>
      <c r="J32" s="645"/>
      <c r="K32" s="645"/>
      <c r="L32" s="645"/>
      <c r="M32" s="645"/>
      <c r="N32" s="645"/>
    </row>
    <row r="33" spans="2:14" ht="30.75" customHeight="1">
      <c r="B33" s="735"/>
      <c r="C33" s="735"/>
      <c r="D33" s="735"/>
      <c r="E33" s="735"/>
      <c r="F33" s="735"/>
      <c r="G33" s="44"/>
      <c r="H33" s="43"/>
      <c r="I33" s="43"/>
      <c r="J33" s="43"/>
      <c r="K33" s="43"/>
      <c r="L33" s="43"/>
      <c r="M33" s="43"/>
      <c r="N33" s="43"/>
    </row>
    <row r="34" spans="2:14" ht="21" customHeight="1">
      <c r="B34" s="645"/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5"/>
      <c r="N34" s="645"/>
    </row>
  </sheetData>
  <sheetProtection/>
  <mergeCells count="14">
    <mergeCell ref="B1:F1"/>
    <mergeCell ref="B31:F31"/>
    <mergeCell ref="B32:N32"/>
    <mergeCell ref="C5:E5"/>
    <mergeCell ref="B10:B11"/>
    <mergeCell ref="C10:C11"/>
    <mergeCell ref="D10:D11"/>
    <mergeCell ref="E10:E11"/>
    <mergeCell ref="F10:F11"/>
    <mergeCell ref="E2:G2"/>
    <mergeCell ref="B7:C7"/>
    <mergeCell ref="B8:C8"/>
    <mergeCell ref="B33:F33"/>
    <mergeCell ref="B34:N34"/>
  </mergeCells>
  <printOptions/>
  <pageMargins left="0.7874015748031497" right="0.1968503937007874" top="0.4724409448818898" bottom="0.2755905511811024" header="0.2362204724409449" footer="0.275590551181102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3"/>
  <sheetViews>
    <sheetView showZeros="0" view="pageBreakPreview" zoomScale="70" zoomScaleNormal="70" zoomScaleSheetLayoutView="70" workbookViewId="0" topLeftCell="A124">
      <selection activeCell="A18" sqref="A18"/>
    </sheetView>
  </sheetViews>
  <sheetFormatPr defaultColWidth="9.00390625" defaultRowHeight="12.75"/>
  <cols>
    <col min="1" max="1" width="9.125" style="274" customWidth="1"/>
    <col min="2" max="2" width="22.625" style="613" customWidth="1"/>
    <col min="3" max="3" width="95.75390625" style="393" customWidth="1"/>
    <col min="4" max="16384" width="9.125" style="274" customWidth="1"/>
  </cols>
  <sheetData>
    <row r="1" spans="3:4" ht="80.25" customHeight="1">
      <c r="C1" s="738" t="s">
        <v>616</v>
      </c>
      <c r="D1" s="738"/>
    </row>
    <row r="2" spans="2:3" ht="19.5" customHeight="1">
      <c r="B2" s="739" t="s">
        <v>751</v>
      </c>
      <c r="C2" s="739"/>
    </row>
    <row r="3" spans="2:3" ht="39.75" customHeight="1">
      <c r="B3" s="744" t="s">
        <v>750</v>
      </c>
      <c r="C3" s="744"/>
    </row>
    <row r="4" spans="2:3" ht="54" customHeight="1">
      <c r="B4" s="744"/>
      <c r="C4" s="744"/>
    </row>
    <row r="5" spans="2:3" ht="24" customHeight="1">
      <c r="B5" s="614"/>
      <c r="C5" s="615" t="s">
        <v>365</v>
      </c>
    </row>
    <row r="6" spans="2:3" ht="15.75">
      <c r="B6" s="616"/>
      <c r="C6" s="617" t="s">
        <v>310</v>
      </c>
    </row>
    <row r="7" spans="1:3" ht="58.5" customHeight="1">
      <c r="A7" s="740" t="s">
        <v>617</v>
      </c>
      <c r="B7" s="641" t="s">
        <v>356</v>
      </c>
      <c r="C7" s="741" t="s">
        <v>618</v>
      </c>
    </row>
    <row r="8" spans="1:3" ht="18.75" customHeight="1">
      <c r="A8" s="740"/>
      <c r="B8" s="641"/>
      <c r="C8" s="742"/>
    </row>
    <row r="9" spans="1:3" ht="13.5" customHeight="1">
      <c r="A9" s="740"/>
      <c r="B9" s="641"/>
      <c r="C9" s="742"/>
    </row>
    <row r="10" spans="1:3" ht="84.75" customHeight="1">
      <c r="A10" s="740"/>
      <c r="B10" s="641"/>
      <c r="C10" s="743"/>
    </row>
    <row r="11" spans="1:3" s="620" customFormat="1" ht="12.75" customHeight="1">
      <c r="A11" s="618">
        <v>1</v>
      </c>
      <c r="B11" s="619">
        <f>A11+1</f>
        <v>2</v>
      </c>
      <c r="C11" s="619">
        <f>B11+1</f>
        <v>3</v>
      </c>
    </row>
    <row r="12" spans="1:3" s="620" customFormat="1" ht="20.25" customHeight="1">
      <c r="A12" s="621"/>
      <c r="B12" s="619"/>
      <c r="C12" s="205" t="s">
        <v>292</v>
      </c>
    </row>
    <row r="13" spans="1:3" s="75" customFormat="1" ht="24" customHeight="1">
      <c r="A13" s="632">
        <v>1</v>
      </c>
      <c r="B13" s="609" t="s">
        <v>296</v>
      </c>
      <c r="C13" s="176" t="s">
        <v>619</v>
      </c>
    </row>
    <row r="14" spans="1:3" s="75" customFormat="1" ht="30.75" customHeight="1">
      <c r="A14" s="632">
        <v>2</v>
      </c>
      <c r="B14" s="609" t="s">
        <v>400</v>
      </c>
      <c r="C14" s="176" t="s">
        <v>620</v>
      </c>
    </row>
    <row r="15" spans="1:3" s="75" customFormat="1" ht="30.75" customHeight="1">
      <c r="A15" s="632">
        <v>3</v>
      </c>
      <c r="B15" s="609" t="s">
        <v>401</v>
      </c>
      <c r="C15" s="173" t="s">
        <v>621</v>
      </c>
    </row>
    <row r="16" spans="1:3" s="75" customFormat="1" ht="30.75" customHeight="1">
      <c r="A16" s="632"/>
      <c r="B16" s="609"/>
      <c r="C16" s="205" t="s">
        <v>351</v>
      </c>
    </row>
    <row r="17" spans="1:3" s="273" customFormat="1" ht="15.75">
      <c r="A17" s="632">
        <v>4</v>
      </c>
      <c r="B17" s="609" t="s">
        <v>374</v>
      </c>
      <c r="C17" s="295" t="s">
        <v>622</v>
      </c>
    </row>
    <row r="18" spans="1:3" s="273" customFormat="1" ht="18.75" customHeight="1">
      <c r="A18" s="632">
        <v>5</v>
      </c>
      <c r="B18" s="747" t="s">
        <v>784</v>
      </c>
      <c r="C18" s="180" t="s">
        <v>623</v>
      </c>
    </row>
    <row r="19" spans="1:3" s="273" customFormat="1" ht="21" customHeight="1">
      <c r="A19" s="632">
        <v>6</v>
      </c>
      <c r="B19" s="748"/>
      <c r="C19" s="180" t="s">
        <v>624</v>
      </c>
    </row>
    <row r="20" spans="1:3" s="273" customFormat="1" ht="21" customHeight="1">
      <c r="A20" s="632">
        <v>7</v>
      </c>
      <c r="B20" s="748"/>
      <c r="C20" s="180" t="s">
        <v>625</v>
      </c>
    </row>
    <row r="21" spans="1:3" s="273" customFormat="1" ht="18.75" customHeight="1">
      <c r="A21" s="632">
        <v>8</v>
      </c>
      <c r="B21" s="748"/>
      <c r="C21" s="180" t="s">
        <v>626</v>
      </c>
    </row>
    <row r="22" spans="1:3" s="273" customFormat="1" ht="18.75" customHeight="1">
      <c r="A22" s="632">
        <v>9</v>
      </c>
      <c r="B22" s="748"/>
      <c r="C22" s="180" t="s">
        <v>627</v>
      </c>
    </row>
    <row r="23" spans="1:3" s="273" customFormat="1" ht="23.25" customHeight="1">
      <c r="A23" s="632">
        <v>10</v>
      </c>
      <c r="B23" s="748"/>
      <c r="C23" s="180" t="s">
        <v>628</v>
      </c>
    </row>
    <row r="24" spans="1:3" s="273" customFormat="1" ht="18.75" customHeight="1">
      <c r="A24" s="632">
        <v>11</v>
      </c>
      <c r="B24" s="748"/>
      <c r="C24" s="180" t="s">
        <v>629</v>
      </c>
    </row>
    <row r="25" spans="1:3" s="273" customFormat="1" ht="18.75" customHeight="1">
      <c r="A25" s="632">
        <v>12</v>
      </c>
      <c r="B25" s="748"/>
      <c r="C25" s="180" t="s">
        <v>630</v>
      </c>
    </row>
    <row r="26" spans="1:3" s="273" customFormat="1" ht="18.75" customHeight="1">
      <c r="A26" s="632">
        <v>13</v>
      </c>
      <c r="B26" s="748"/>
      <c r="C26" s="180" t="s">
        <v>631</v>
      </c>
    </row>
    <row r="27" spans="1:3" s="273" customFormat="1" ht="18.75" customHeight="1">
      <c r="A27" s="632">
        <v>14</v>
      </c>
      <c r="B27" s="748"/>
      <c r="C27" s="180" t="s">
        <v>632</v>
      </c>
    </row>
    <row r="28" spans="1:3" s="273" customFormat="1" ht="18.75" customHeight="1">
      <c r="A28" s="632">
        <v>15</v>
      </c>
      <c r="B28" s="748"/>
      <c r="C28" s="180" t="s">
        <v>633</v>
      </c>
    </row>
    <row r="29" spans="1:3" s="273" customFormat="1" ht="18.75" customHeight="1">
      <c r="A29" s="632">
        <v>16</v>
      </c>
      <c r="B29" s="748"/>
      <c r="C29" s="180" t="s">
        <v>634</v>
      </c>
    </row>
    <row r="30" spans="1:3" s="273" customFormat="1" ht="18.75" customHeight="1">
      <c r="A30" s="632">
        <v>17</v>
      </c>
      <c r="B30" s="748"/>
      <c r="C30" s="180" t="s">
        <v>635</v>
      </c>
    </row>
    <row r="31" spans="1:3" s="273" customFormat="1" ht="18.75" customHeight="1">
      <c r="A31" s="632">
        <v>18</v>
      </c>
      <c r="B31" s="748"/>
      <c r="C31" s="180" t="s">
        <v>636</v>
      </c>
    </row>
    <row r="32" spans="1:3" s="273" customFormat="1" ht="18.75" customHeight="1">
      <c r="A32" s="632">
        <v>19</v>
      </c>
      <c r="B32" s="748"/>
      <c r="C32" s="180" t="s">
        <v>637</v>
      </c>
    </row>
    <row r="33" spans="1:3" s="273" customFormat="1" ht="18.75" customHeight="1">
      <c r="A33" s="632">
        <v>20</v>
      </c>
      <c r="B33" s="748"/>
      <c r="C33" s="180" t="s">
        <v>638</v>
      </c>
    </row>
    <row r="34" spans="1:3" s="273" customFormat="1" ht="18.75" customHeight="1">
      <c r="A34" s="632">
        <v>21</v>
      </c>
      <c r="B34" s="748"/>
      <c r="C34" s="180" t="s">
        <v>639</v>
      </c>
    </row>
    <row r="35" spans="1:3" s="273" customFormat="1" ht="18.75" customHeight="1">
      <c r="A35" s="632">
        <v>22</v>
      </c>
      <c r="B35" s="748"/>
      <c r="C35" s="180" t="s">
        <v>640</v>
      </c>
    </row>
    <row r="36" spans="1:3" s="273" customFormat="1" ht="18.75" customHeight="1">
      <c r="A36" s="632">
        <v>23</v>
      </c>
      <c r="B36" s="748"/>
      <c r="C36" s="180" t="s">
        <v>641</v>
      </c>
    </row>
    <row r="37" spans="1:3" s="273" customFormat="1" ht="24" customHeight="1">
      <c r="A37" s="632">
        <v>24</v>
      </c>
      <c r="B37" s="748"/>
      <c r="C37" s="295" t="s">
        <v>642</v>
      </c>
    </row>
    <row r="38" spans="1:3" s="273" customFormat="1" ht="18.75" customHeight="1">
      <c r="A38" s="632">
        <v>25</v>
      </c>
      <c r="B38" s="748"/>
      <c r="C38" s="295" t="s">
        <v>643</v>
      </c>
    </row>
    <row r="39" spans="1:3" s="273" customFormat="1" ht="18.75" customHeight="1">
      <c r="A39" s="632">
        <v>26</v>
      </c>
      <c r="B39" s="748"/>
      <c r="C39" s="295" t="s">
        <v>644</v>
      </c>
    </row>
    <row r="40" spans="1:3" s="273" customFormat="1" ht="18.75" customHeight="1">
      <c r="A40" s="632">
        <v>27</v>
      </c>
      <c r="B40" s="748"/>
      <c r="C40" s="295" t="s">
        <v>645</v>
      </c>
    </row>
    <row r="41" spans="1:3" s="273" customFormat="1" ht="18.75" customHeight="1">
      <c r="A41" s="632">
        <v>28</v>
      </c>
      <c r="B41" s="748"/>
      <c r="C41" s="295" t="s">
        <v>646</v>
      </c>
    </row>
    <row r="42" spans="1:3" s="273" customFormat="1" ht="18.75" customHeight="1">
      <c r="A42" s="632">
        <v>29</v>
      </c>
      <c r="B42" s="748"/>
      <c r="C42" s="295" t="s">
        <v>647</v>
      </c>
    </row>
    <row r="43" spans="1:3" s="273" customFormat="1" ht="18.75" customHeight="1">
      <c r="A43" s="632">
        <v>30</v>
      </c>
      <c r="B43" s="748"/>
      <c r="C43" s="295" t="s">
        <v>648</v>
      </c>
    </row>
    <row r="44" spans="1:3" s="273" customFormat="1" ht="18.75" customHeight="1">
      <c r="A44" s="632">
        <v>31</v>
      </c>
      <c r="B44" s="748"/>
      <c r="C44" s="295" t="s">
        <v>649</v>
      </c>
    </row>
    <row r="45" spans="1:3" s="273" customFormat="1" ht="18.75" customHeight="1">
      <c r="A45" s="632">
        <v>32</v>
      </c>
      <c r="B45" s="748"/>
      <c r="C45" s="295" t="s">
        <v>650</v>
      </c>
    </row>
    <row r="46" spans="1:3" s="273" customFormat="1" ht="18.75" customHeight="1">
      <c r="A46" s="632">
        <v>33</v>
      </c>
      <c r="B46" s="748"/>
      <c r="C46" s="295" t="s">
        <v>651</v>
      </c>
    </row>
    <row r="47" spans="1:3" s="273" customFormat="1" ht="18.75" customHeight="1">
      <c r="A47" s="632">
        <v>34</v>
      </c>
      <c r="B47" s="748"/>
      <c r="C47" s="295" t="s">
        <v>652</v>
      </c>
    </row>
    <row r="48" spans="1:3" s="273" customFormat="1" ht="18.75" customHeight="1">
      <c r="A48" s="632">
        <v>35</v>
      </c>
      <c r="B48" s="748"/>
      <c r="C48" s="295" t="s">
        <v>653</v>
      </c>
    </row>
    <row r="49" spans="1:3" s="273" customFormat="1" ht="18.75" customHeight="1">
      <c r="A49" s="632">
        <v>36</v>
      </c>
      <c r="B49" s="748"/>
      <c r="C49" s="295" t="s">
        <v>654</v>
      </c>
    </row>
    <row r="50" spans="1:3" s="273" customFormat="1" ht="18.75" customHeight="1">
      <c r="A50" s="632">
        <v>37</v>
      </c>
      <c r="B50" s="748"/>
      <c r="C50" s="295" t="s">
        <v>655</v>
      </c>
    </row>
    <row r="51" spans="1:3" s="273" customFormat="1" ht="18.75" customHeight="1">
      <c r="A51" s="632">
        <v>38</v>
      </c>
      <c r="B51" s="748"/>
      <c r="C51" s="295" t="s">
        <v>656</v>
      </c>
    </row>
    <row r="52" spans="1:3" s="273" customFormat="1" ht="18.75" customHeight="1">
      <c r="A52" s="632">
        <v>39</v>
      </c>
      <c r="B52" s="748"/>
      <c r="C52" s="295" t="s">
        <v>657</v>
      </c>
    </row>
    <row r="53" spans="1:3" s="273" customFormat="1" ht="18.75" customHeight="1">
      <c r="A53" s="632">
        <v>40</v>
      </c>
      <c r="B53" s="748"/>
      <c r="C53" s="295" t="s">
        <v>658</v>
      </c>
    </row>
    <row r="54" spans="1:3" s="273" customFormat="1" ht="18.75" customHeight="1">
      <c r="A54" s="632">
        <v>41</v>
      </c>
      <c r="B54" s="748"/>
      <c r="C54" s="295" t="s">
        <v>659</v>
      </c>
    </row>
    <row r="55" spans="1:3" s="273" customFormat="1" ht="18.75" customHeight="1">
      <c r="A55" s="632">
        <v>42</v>
      </c>
      <c r="B55" s="748"/>
      <c r="C55" s="295" t="s">
        <v>660</v>
      </c>
    </row>
    <row r="56" spans="1:3" s="273" customFormat="1" ht="18.75" customHeight="1">
      <c r="A56" s="632">
        <v>43</v>
      </c>
      <c r="B56" s="748"/>
      <c r="C56" s="295" t="s">
        <v>661</v>
      </c>
    </row>
    <row r="57" spans="1:3" s="273" customFormat="1" ht="18.75" customHeight="1">
      <c r="A57" s="632">
        <v>44</v>
      </c>
      <c r="B57" s="748"/>
      <c r="C57" s="295" t="s">
        <v>662</v>
      </c>
    </row>
    <row r="58" spans="1:3" s="273" customFormat="1" ht="18.75" customHeight="1">
      <c r="A58" s="632">
        <v>45</v>
      </c>
      <c r="B58" s="748"/>
      <c r="C58" s="295" t="s">
        <v>663</v>
      </c>
    </row>
    <row r="59" spans="1:3" s="273" customFormat="1" ht="18.75" customHeight="1">
      <c r="A59" s="632">
        <v>46</v>
      </c>
      <c r="B59" s="749"/>
      <c r="C59" s="295" t="s">
        <v>664</v>
      </c>
    </row>
    <row r="60" spans="1:3" ht="25.5" customHeight="1">
      <c r="A60" s="632">
        <v>47</v>
      </c>
      <c r="B60" s="706" t="s">
        <v>782</v>
      </c>
      <c r="C60" s="611" t="s">
        <v>665</v>
      </c>
    </row>
    <row r="61" spans="1:3" ht="18.75" customHeight="1">
      <c r="A61" s="632">
        <v>48</v>
      </c>
      <c r="B61" s="715"/>
      <c r="C61" s="611" t="s">
        <v>666</v>
      </c>
    </row>
    <row r="62" spans="1:3" ht="34.5" customHeight="1">
      <c r="A62" s="632">
        <v>49</v>
      </c>
      <c r="B62" s="715"/>
      <c r="C62" s="611" t="s">
        <v>667</v>
      </c>
    </row>
    <row r="63" spans="1:3" ht="28.5" customHeight="1">
      <c r="A63" s="632">
        <v>50</v>
      </c>
      <c r="B63" s="715"/>
      <c r="C63" s="611" t="s">
        <v>668</v>
      </c>
    </row>
    <row r="64" spans="1:3" ht="18.75" customHeight="1">
      <c r="A64" s="632">
        <v>51</v>
      </c>
      <c r="B64" s="715"/>
      <c r="C64" s="611" t="s">
        <v>669</v>
      </c>
    </row>
    <row r="65" spans="1:3" ht="18.75" customHeight="1">
      <c r="A65" s="632">
        <v>52</v>
      </c>
      <c r="B65" s="715"/>
      <c r="C65" s="611" t="s">
        <v>670</v>
      </c>
    </row>
    <row r="66" spans="1:3" ht="18.75" customHeight="1">
      <c r="A66" s="632">
        <v>53</v>
      </c>
      <c r="B66" s="715"/>
      <c r="C66" s="611" t="s">
        <v>671</v>
      </c>
    </row>
    <row r="67" spans="1:3" ht="18.75" customHeight="1">
      <c r="A67" s="632">
        <v>54</v>
      </c>
      <c r="B67" s="715"/>
      <c r="C67" s="611" t="s">
        <v>672</v>
      </c>
    </row>
    <row r="68" spans="1:3" ht="18.75" customHeight="1">
      <c r="A68" s="632">
        <v>55</v>
      </c>
      <c r="B68" s="715"/>
      <c r="C68" s="611" t="s">
        <v>673</v>
      </c>
    </row>
    <row r="69" spans="1:3" ht="18.75" customHeight="1">
      <c r="A69" s="632">
        <v>56</v>
      </c>
      <c r="B69" s="715"/>
      <c r="C69" s="611" t="s">
        <v>674</v>
      </c>
    </row>
    <row r="70" spans="1:3" ht="18.75" customHeight="1">
      <c r="A70" s="632">
        <v>57</v>
      </c>
      <c r="B70" s="715"/>
      <c r="C70" s="611" t="s">
        <v>675</v>
      </c>
    </row>
    <row r="71" spans="1:3" ht="18.75" customHeight="1">
      <c r="A71" s="632">
        <v>58</v>
      </c>
      <c r="B71" s="715"/>
      <c r="C71" s="611" t="s">
        <v>676</v>
      </c>
    </row>
    <row r="72" spans="1:3" ht="18.75" customHeight="1">
      <c r="A72" s="632">
        <v>59</v>
      </c>
      <c r="B72" s="715"/>
      <c r="C72" s="611" t="s">
        <v>677</v>
      </c>
    </row>
    <row r="73" spans="1:3" ht="18.75" customHeight="1">
      <c r="A73" s="632">
        <v>60</v>
      </c>
      <c r="B73" s="715"/>
      <c r="C73" s="611" t="s">
        <v>678</v>
      </c>
    </row>
    <row r="74" spans="1:3" ht="18.75" customHeight="1">
      <c r="A74" s="632">
        <v>61</v>
      </c>
      <c r="B74" s="715"/>
      <c r="C74" s="611" t="s">
        <v>679</v>
      </c>
    </row>
    <row r="75" spans="1:3" ht="36.75" customHeight="1">
      <c r="A75" s="632">
        <v>62</v>
      </c>
      <c r="B75" s="715"/>
      <c r="C75" s="611" t="s">
        <v>680</v>
      </c>
    </row>
    <row r="76" spans="1:3" ht="18.75" customHeight="1">
      <c r="A76" s="632">
        <v>63</v>
      </c>
      <c r="B76" s="715"/>
      <c r="C76" s="611" t="s">
        <v>681</v>
      </c>
    </row>
    <row r="77" spans="1:3" ht="18.75" customHeight="1">
      <c r="A77" s="632">
        <v>64</v>
      </c>
      <c r="B77" s="715"/>
      <c r="C77" s="611" t="s">
        <v>682</v>
      </c>
    </row>
    <row r="78" spans="1:3" s="81" customFormat="1" ht="18.75" customHeight="1">
      <c r="A78" s="632">
        <v>65</v>
      </c>
      <c r="B78" s="715"/>
      <c r="C78" s="610" t="s">
        <v>683</v>
      </c>
    </row>
    <row r="79" spans="1:3" s="81" customFormat="1" ht="18.75" customHeight="1">
      <c r="A79" s="632">
        <v>66</v>
      </c>
      <c r="B79" s="715"/>
      <c r="C79" s="173" t="s">
        <v>684</v>
      </c>
    </row>
    <row r="80" spans="1:3" s="164" customFormat="1" ht="18.75" customHeight="1">
      <c r="A80" s="632">
        <v>67</v>
      </c>
      <c r="B80" s="715"/>
      <c r="C80" s="610" t="s">
        <v>685</v>
      </c>
    </row>
    <row r="81" spans="1:3" s="164" customFormat="1" ht="18.75" customHeight="1">
      <c r="A81" s="632">
        <v>68</v>
      </c>
      <c r="B81" s="715"/>
      <c r="C81" s="610" t="s">
        <v>686</v>
      </c>
    </row>
    <row r="82" spans="1:3" s="164" customFormat="1" ht="18.75" customHeight="1">
      <c r="A82" s="632">
        <v>69</v>
      </c>
      <c r="B82" s="715"/>
      <c r="C82" s="610" t="s">
        <v>687</v>
      </c>
    </row>
    <row r="83" spans="1:3" s="164" customFormat="1" ht="31.5" customHeight="1">
      <c r="A83" s="632">
        <v>70</v>
      </c>
      <c r="B83" s="715"/>
      <c r="C83" s="610" t="s">
        <v>688</v>
      </c>
    </row>
    <row r="84" spans="1:3" s="164" customFormat="1" ht="18.75" customHeight="1">
      <c r="A84" s="632">
        <v>71</v>
      </c>
      <c r="B84" s="715"/>
      <c r="C84" s="610" t="s">
        <v>689</v>
      </c>
    </row>
    <row r="85" spans="1:3" s="164" customFormat="1" ht="18.75" customHeight="1">
      <c r="A85" s="632">
        <v>72</v>
      </c>
      <c r="B85" s="715"/>
      <c r="C85" s="610" t="s">
        <v>690</v>
      </c>
    </row>
    <row r="86" spans="1:3" s="164" customFormat="1" ht="18.75" customHeight="1">
      <c r="A86" s="632">
        <v>73</v>
      </c>
      <c r="B86" s="715"/>
      <c r="C86" s="610" t="s">
        <v>691</v>
      </c>
    </row>
    <row r="87" spans="1:3" s="164" customFormat="1" ht="18.75" customHeight="1">
      <c r="A87" s="632">
        <v>74</v>
      </c>
      <c r="B87" s="715"/>
      <c r="C87" s="610" t="s">
        <v>692</v>
      </c>
    </row>
    <row r="88" spans="1:3" s="164" customFormat="1" ht="18.75" customHeight="1">
      <c r="A88" s="632">
        <v>75</v>
      </c>
      <c r="B88" s="715"/>
      <c r="C88" s="610" t="s">
        <v>693</v>
      </c>
    </row>
    <row r="89" spans="1:3" s="164" customFormat="1" ht="18.75" customHeight="1">
      <c r="A89" s="632">
        <v>76</v>
      </c>
      <c r="B89" s="715"/>
      <c r="C89" s="610" t="s">
        <v>694</v>
      </c>
    </row>
    <row r="90" spans="1:3" s="164" customFormat="1" ht="18.75" customHeight="1">
      <c r="A90" s="632">
        <v>77</v>
      </c>
      <c r="B90" s="715"/>
      <c r="C90" s="610" t="s">
        <v>695</v>
      </c>
    </row>
    <row r="91" spans="1:3" s="164" customFormat="1" ht="18.75" customHeight="1">
      <c r="A91" s="632">
        <v>78</v>
      </c>
      <c r="B91" s="703"/>
      <c r="C91" s="610" t="s">
        <v>696</v>
      </c>
    </row>
    <row r="92" spans="1:3" ht="30" customHeight="1">
      <c r="A92" s="632">
        <v>79</v>
      </c>
      <c r="B92" s="702" t="s">
        <v>766</v>
      </c>
      <c r="C92" s="176" t="s">
        <v>697</v>
      </c>
    </row>
    <row r="93" spans="1:3" ht="30" customHeight="1">
      <c r="A93" s="632">
        <v>80</v>
      </c>
      <c r="B93" s="715"/>
      <c r="C93" s="176" t="s">
        <v>698</v>
      </c>
    </row>
    <row r="94" spans="1:3" ht="30" customHeight="1">
      <c r="A94" s="632">
        <v>81</v>
      </c>
      <c r="B94" s="703"/>
      <c r="C94" s="176" t="s">
        <v>699</v>
      </c>
    </row>
    <row r="95" spans="1:3" ht="30" customHeight="1">
      <c r="A95" s="632">
        <v>82</v>
      </c>
      <c r="B95" s="702" t="s">
        <v>764</v>
      </c>
      <c r="C95" s="176" t="s">
        <v>700</v>
      </c>
    </row>
    <row r="96" spans="1:3" ht="29.25" customHeight="1">
      <c r="A96" s="632">
        <v>83</v>
      </c>
      <c r="B96" s="703"/>
      <c r="C96" s="176" t="s">
        <v>701</v>
      </c>
    </row>
    <row r="97" spans="1:3" ht="24" customHeight="1">
      <c r="A97" s="632">
        <v>84</v>
      </c>
      <c r="B97" s="702" t="s">
        <v>762</v>
      </c>
      <c r="C97" s="295" t="s">
        <v>702</v>
      </c>
    </row>
    <row r="98" spans="1:3" ht="39" customHeight="1">
      <c r="A98" s="632">
        <v>85</v>
      </c>
      <c r="B98" s="715"/>
      <c r="C98" s="176" t="s">
        <v>703</v>
      </c>
    </row>
    <row r="99" spans="1:3" ht="36" customHeight="1">
      <c r="A99" s="632">
        <v>86</v>
      </c>
      <c r="B99" s="703"/>
      <c r="C99" s="176" t="s">
        <v>785</v>
      </c>
    </row>
    <row r="100" spans="1:3" ht="42" customHeight="1">
      <c r="A100" s="632">
        <v>87</v>
      </c>
      <c r="B100" s="631" t="s">
        <v>783</v>
      </c>
      <c r="C100" s="173" t="s">
        <v>704</v>
      </c>
    </row>
    <row r="101" spans="1:3" s="75" customFormat="1" ht="37.5" customHeight="1">
      <c r="A101" s="632">
        <v>88</v>
      </c>
      <c r="B101" s="609" t="s">
        <v>235</v>
      </c>
      <c r="C101" s="176" t="s">
        <v>705</v>
      </c>
    </row>
    <row r="102" spans="1:3" s="273" customFormat="1" ht="31.5">
      <c r="A102" s="632"/>
      <c r="B102" s="203"/>
      <c r="C102" s="205" t="s">
        <v>339</v>
      </c>
    </row>
    <row r="103" spans="1:3" ht="15.75">
      <c r="A103" s="632">
        <v>89</v>
      </c>
      <c r="B103" s="609" t="s">
        <v>177</v>
      </c>
      <c r="C103" s="295" t="s">
        <v>706</v>
      </c>
    </row>
    <row r="104" spans="1:3" ht="39" customHeight="1">
      <c r="A104" s="632">
        <v>90</v>
      </c>
      <c r="B104" s="609" t="s">
        <v>395</v>
      </c>
      <c r="C104" s="176" t="s">
        <v>707</v>
      </c>
    </row>
    <row r="105" spans="1:3" s="273" customFormat="1" ht="15.75">
      <c r="A105" s="632"/>
      <c r="B105" s="203"/>
      <c r="C105" s="205" t="s">
        <v>341</v>
      </c>
    </row>
    <row r="106" spans="1:3" s="273" customFormat="1" ht="19.5" customHeight="1">
      <c r="A106" s="632">
        <v>91</v>
      </c>
      <c r="B106" s="609" t="s">
        <v>384</v>
      </c>
      <c r="C106" s="295" t="s">
        <v>708</v>
      </c>
    </row>
    <row r="107" spans="1:3" ht="25.5" customHeight="1">
      <c r="A107" s="632">
        <v>92</v>
      </c>
      <c r="B107" s="702" t="s">
        <v>779</v>
      </c>
      <c r="C107" s="173" t="s">
        <v>709</v>
      </c>
    </row>
    <row r="108" spans="1:3" ht="25.5" customHeight="1">
      <c r="A108" s="632">
        <v>93</v>
      </c>
      <c r="B108" s="715"/>
      <c r="C108" s="173" t="s">
        <v>710</v>
      </c>
    </row>
    <row r="109" spans="1:3" ht="25.5" customHeight="1">
      <c r="A109" s="632">
        <v>94</v>
      </c>
      <c r="B109" s="703"/>
      <c r="C109" s="173" t="s">
        <v>711</v>
      </c>
    </row>
    <row r="110" spans="1:3" ht="25.5" customHeight="1">
      <c r="A110" s="632">
        <v>95</v>
      </c>
      <c r="B110" s="171">
        <v>1014010</v>
      </c>
      <c r="C110" s="173" t="s">
        <v>712</v>
      </c>
    </row>
    <row r="111" spans="1:3" ht="25.5" customHeight="1">
      <c r="A111" s="632">
        <v>96</v>
      </c>
      <c r="B111" s="750">
        <v>1014030</v>
      </c>
      <c r="C111" s="173" t="s">
        <v>713</v>
      </c>
    </row>
    <row r="112" spans="1:3" ht="25.5" customHeight="1">
      <c r="A112" s="632">
        <v>97</v>
      </c>
      <c r="B112" s="751"/>
      <c r="C112" s="173" t="s">
        <v>714</v>
      </c>
    </row>
    <row r="113" spans="1:3" ht="25.5" customHeight="1">
      <c r="A113" s="632">
        <v>98</v>
      </c>
      <c r="B113" s="751"/>
      <c r="C113" s="173" t="s">
        <v>715</v>
      </c>
    </row>
    <row r="114" spans="1:3" ht="25.5" customHeight="1">
      <c r="A114" s="632">
        <v>99</v>
      </c>
      <c r="B114" s="751"/>
      <c r="C114" s="173" t="s">
        <v>716</v>
      </c>
    </row>
    <row r="115" spans="1:3" ht="25.5" customHeight="1">
      <c r="A115" s="632">
        <v>100</v>
      </c>
      <c r="B115" s="751"/>
      <c r="C115" s="173" t="s">
        <v>717</v>
      </c>
    </row>
    <row r="116" spans="1:3" ht="25.5" customHeight="1">
      <c r="A116" s="632">
        <v>101</v>
      </c>
      <c r="B116" s="751"/>
      <c r="C116" s="173" t="s">
        <v>718</v>
      </c>
    </row>
    <row r="117" spans="1:3" ht="25.5" customHeight="1">
      <c r="A117" s="632">
        <v>102</v>
      </c>
      <c r="B117" s="751"/>
      <c r="C117" s="173" t="s">
        <v>719</v>
      </c>
    </row>
    <row r="118" spans="1:3" ht="25.5" customHeight="1">
      <c r="A118" s="632">
        <v>103</v>
      </c>
      <c r="B118" s="751"/>
      <c r="C118" s="173" t="s">
        <v>720</v>
      </c>
    </row>
    <row r="119" spans="1:3" ht="25.5" customHeight="1">
      <c r="A119" s="632">
        <v>104</v>
      </c>
      <c r="B119" s="751"/>
      <c r="C119" s="173" t="s">
        <v>721</v>
      </c>
    </row>
    <row r="120" spans="1:3" ht="25.5" customHeight="1">
      <c r="A120" s="632">
        <v>105</v>
      </c>
      <c r="B120" s="751"/>
      <c r="C120" s="173" t="s">
        <v>722</v>
      </c>
    </row>
    <row r="121" spans="1:3" ht="25.5" customHeight="1">
      <c r="A121" s="632">
        <v>106</v>
      </c>
      <c r="B121" s="751"/>
      <c r="C121" s="173" t="s">
        <v>723</v>
      </c>
    </row>
    <row r="122" spans="1:3" ht="25.5" customHeight="1">
      <c r="A122" s="632">
        <v>107</v>
      </c>
      <c r="B122" s="751"/>
      <c r="C122" s="173" t="s">
        <v>724</v>
      </c>
    </row>
    <row r="123" spans="1:3" ht="25.5" customHeight="1">
      <c r="A123" s="632">
        <v>108</v>
      </c>
      <c r="B123" s="751"/>
      <c r="C123" s="173" t="s">
        <v>725</v>
      </c>
    </row>
    <row r="124" spans="1:3" ht="25.5" customHeight="1">
      <c r="A124" s="632">
        <v>109</v>
      </c>
      <c r="B124" s="751"/>
      <c r="C124" s="173" t="s">
        <v>726</v>
      </c>
    </row>
    <row r="125" spans="1:3" ht="25.5" customHeight="1">
      <c r="A125" s="632">
        <v>110</v>
      </c>
      <c r="B125" s="752"/>
      <c r="C125" s="173" t="s">
        <v>727</v>
      </c>
    </row>
    <row r="126" spans="1:3" ht="25.5" customHeight="1">
      <c r="A126" s="632">
        <v>111</v>
      </c>
      <c r="B126" s="171">
        <v>1014040</v>
      </c>
      <c r="C126" s="173" t="s">
        <v>194</v>
      </c>
    </row>
    <row r="127" spans="1:3" ht="25.5" customHeight="1">
      <c r="A127" s="632">
        <v>112</v>
      </c>
      <c r="B127" s="750">
        <v>1014060</v>
      </c>
      <c r="C127" s="173" t="s">
        <v>728</v>
      </c>
    </row>
    <row r="128" spans="1:3" ht="25.5" customHeight="1">
      <c r="A128" s="632">
        <v>113</v>
      </c>
      <c r="B128" s="751"/>
      <c r="C128" s="173" t="s">
        <v>729</v>
      </c>
    </row>
    <row r="129" spans="1:3" ht="25.5" customHeight="1">
      <c r="A129" s="632">
        <v>114</v>
      </c>
      <c r="B129" s="751"/>
      <c r="C129" s="173" t="s">
        <v>730</v>
      </c>
    </row>
    <row r="130" spans="1:3" ht="25.5" customHeight="1">
      <c r="A130" s="632">
        <v>115</v>
      </c>
      <c r="B130" s="751"/>
      <c r="C130" s="173" t="s">
        <v>731</v>
      </c>
    </row>
    <row r="131" spans="1:3" ht="25.5" customHeight="1">
      <c r="A131" s="632">
        <v>116</v>
      </c>
      <c r="B131" s="751"/>
      <c r="C131" s="173" t="s">
        <v>732</v>
      </c>
    </row>
    <row r="132" spans="1:3" ht="25.5" customHeight="1">
      <c r="A132" s="632">
        <v>117</v>
      </c>
      <c r="B132" s="751"/>
      <c r="C132" s="173" t="s">
        <v>733</v>
      </c>
    </row>
    <row r="133" spans="1:3" ht="25.5" customHeight="1">
      <c r="A133" s="632">
        <v>118</v>
      </c>
      <c r="B133" s="751"/>
      <c r="C133" s="173" t="s">
        <v>734</v>
      </c>
    </row>
    <row r="134" spans="1:3" ht="19.5" customHeight="1">
      <c r="A134" s="632">
        <v>119</v>
      </c>
      <c r="B134" s="751"/>
      <c r="C134" s="173" t="s">
        <v>735</v>
      </c>
    </row>
    <row r="135" spans="1:3" ht="20.25" customHeight="1">
      <c r="A135" s="632">
        <v>120</v>
      </c>
      <c r="B135" s="751"/>
      <c r="C135" s="173" t="s">
        <v>736</v>
      </c>
    </row>
    <row r="136" spans="1:3" ht="19.5" customHeight="1">
      <c r="A136" s="632">
        <v>121</v>
      </c>
      <c r="B136" s="751"/>
      <c r="C136" s="173" t="s">
        <v>737</v>
      </c>
    </row>
    <row r="137" spans="1:3" ht="33.75" customHeight="1">
      <c r="A137" s="632">
        <v>122</v>
      </c>
      <c r="B137" s="751"/>
      <c r="C137" s="173" t="s">
        <v>738</v>
      </c>
    </row>
    <row r="138" spans="1:3" ht="18.75" customHeight="1">
      <c r="A138" s="632">
        <v>123</v>
      </c>
      <c r="B138" s="751"/>
      <c r="C138" s="173" t="s">
        <v>739</v>
      </c>
    </row>
    <row r="139" spans="1:3" ht="18.75" customHeight="1">
      <c r="A139" s="632">
        <v>124</v>
      </c>
      <c r="B139" s="751"/>
      <c r="C139" s="173" t="s">
        <v>740</v>
      </c>
    </row>
    <row r="140" spans="1:3" ht="18.75" customHeight="1">
      <c r="A140" s="632">
        <v>125</v>
      </c>
      <c r="B140" s="751"/>
      <c r="C140" s="173" t="s">
        <v>741</v>
      </c>
    </row>
    <row r="141" spans="1:3" ht="18.75" customHeight="1">
      <c r="A141" s="632">
        <v>126</v>
      </c>
      <c r="B141" s="751"/>
      <c r="C141" s="173" t="s">
        <v>742</v>
      </c>
    </row>
    <row r="142" spans="1:3" ht="18.75" customHeight="1">
      <c r="A142" s="632">
        <v>127</v>
      </c>
      <c r="B142" s="751"/>
      <c r="C142" s="173" t="s">
        <v>743</v>
      </c>
    </row>
    <row r="143" spans="1:3" ht="18.75" customHeight="1">
      <c r="A143" s="632">
        <v>128</v>
      </c>
      <c r="B143" s="752"/>
      <c r="C143" s="173" t="s">
        <v>744</v>
      </c>
    </row>
    <row r="144" spans="1:3" ht="18.75" customHeight="1">
      <c r="A144" s="632">
        <v>129</v>
      </c>
      <c r="B144" s="171">
        <v>1014081</v>
      </c>
      <c r="C144" s="173" t="s">
        <v>745</v>
      </c>
    </row>
    <row r="145" spans="1:3" s="273" customFormat="1" ht="34.5" customHeight="1">
      <c r="A145" s="632"/>
      <c r="B145" s="203"/>
      <c r="C145" s="205" t="s">
        <v>343</v>
      </c>
    </row>
    <row r="146" spans="1:3" s="622" customFormat="1" ht="47.25" customHeight="1">
      <c r="A146" s="632">
        <v>130</v>
      </c>
      <c r="B146" s="609" t="s">
        <v>215</v>
      </c>
      <c r="C146" s="610" t="s">
        <v>746</v>
      </c>
    </row>
    <row r="147" spans="1:3" s="273" customFormat="1" ht="31.5">
      <c r="A147" s="632"/>
      <c r="B147" s="203"/>
      <c r="C147" s="202" t="s">
        <v>550</v>
      </c>
    </row>
    <row r="148" spans="1:3" ht="23.25" customHeight="1">
      <c r="A148" s="632">
        <v>131</v>
      </c>
      <c r="B148" s="609" t="s">
        <v>179</v>
      </c>
      <c r="C148" s="610" t="s">
        <v>747</v>
      </c>
    </row>
    <row r="149" spans="1:3" s="273" customFormat="1" ht="34.5" customHeight="1">
      <c r="A149" s="632"/>
      <c r="B149" s="203"/>
      <c r="C149" s="205" t="s">
        <v>345</v>
      </c>
    </row>
    <row r="150" spans="1:3" ht="25.5" customHeight="1">
      <c r="A150" s="632">
        <v>132</v>
      </c>
      <c r="B150" s="609" t="s">
        <v>565</v>
      </c>
      <c r="C150" s="610" t="s">
        <v>748</v>
      </c>
    </row>
    <row r="151" spans="1:3" s="273" customFormat="1" ht="15.75">
      <c r="A151" s="632"/>
      <c r="B151" s="203"/>
      <c r="C151" s="205" t="s">
        <v>347</v>
      </c>
    </row>
    <row r="152" spans="1:3" ht="38.25" customHeight="1">
      <c r="A152" s="632">
        <v>133</v>
      </c>
      <c r="B152" s="609" t="s">
        <v>183</v>
      </c>
      <c r="C152" s="610" t="s">
        <v>749</v>
      </c>
    </row>
    <row r="153" spans="2:3" ht="35.25" customHeight="1">
      <c r="B153" s="616"/>
      <c r="C153" s="623"/>
    </row>
    <row r="154" spans="2:3" ht="35.25" customHeight="1">
      <c r="B154" s="613" t="s">
        <v>43</v>
      </c>
      <c r="C154" s="624" t="s">
        <v>419</v>
      </c>
    </row>
    <row r="155" ht="35.25" customHeight="1">
      <c r="C155" s="625"/>
    </row>
    <row r="156" ht="15.75">
      <c r="C156" s="625"/>
    </row>
    <row r="157" ht="15.75">
      <c r="C157" s="625"/>
    </row>
    <row r="158" ht="15.75">
      <c r="C158" s="625"/>
    </row>
    <row r="159" ht="15.75">
      <c r="C159" s="625"/>
    </row>
    <row r="160" ht="15.75">
      <c r="C160" s="625"/>
    </row>
    <row r="161" ht="15.75">
      <c r="C161" s="625"/>
    </row>
    <row r="162" ht="15.75">
      <c r="C162" s="625"/>
    </row>
    <row r="163" ht="15.75">
      <c r="C163" s="625"/>
    </row>
  </sheetData>
  <sheetProtection/>
  <autoFilter ref="B11:C152"/>
  <mergeCells count="14">
    <mergeCell ref="B111:B125"/>
    <mergeCell ref="B127:B143"/>
    <mergeCell ref="B60:B91"/>
    <mergeCell ref="B92:B94"/>
    <mergeCell ref="B95:B96"/>
    <mergeCell ref="B97:B99"/>
    <mergeCell ref="B107:B109"/>
    <mergeCell ref="B18:B59"/>
    <mergeCell ref="C1:D1"/>
    <mergeCell ref="B2:C2"/>
    <mergeCell ref="A7:A10"/>
    <mergeCell ref="B7:B10"/>
    <mergeCell ref="C7:C10"/>
    <mergeCell ref="B3:C4"/>
  </mergeCells>
  <printOptions/>
  <pageMargins left="0.2362204724409449" right="0.1968503937007874" top="0.4724409448818898" bottom="0.4724409448818898" header="0.2362204724409449" footer="0.2755905511811024"/>
  <pageSetup fitToHeight="9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Yura_2</dc:creator>
  <cp:keywords/>
  <dc:description/>
  <cp:lastModifiedBy>USER</cp:lastModifiedBy>
  <cp:lastPrinted>2020-12-21T15:27:17Z</cp:lastPrinted>
  <dcterms:created xsi:type="dcterms:W3CDTF">2011-12-26T08:50:57Z</dcterms:created>
  <dcterms:modified xsi:type="dcterms:W3CDTF">2020-12-21T15:31:36Z</dcterms:modified>
  <cp:category/>
  <cp:version/>
  <cp:contentType/>
  <cp:contentStatus/>
</cp:coreProperties>
</file>