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  d\Budzet 2021\Виконання за І квартал 2021 року\"/>
    </mc:Choice>
  </mc:AlternateContent>
  <xr:revisionPtr revIDLastSave="0" documentId="13_ncr:1_{C662DD55-87F3-4CC6-9C46-E887973C9521}" xr6:coauthVersionLast="46" xr6:coauthVersionMax="46" xr10:uidLastSave="{00000000-0000-0000-0000-000000000000}"/>
  <bookViews>
    <workbookView xWindow="-120" yWindow="-120" windowWidth="24240" windowHeight="13140" xr2:uid="{BA9F559A-0593-45FA-B3DB-15D21B5874BC}"/>
  </bookViews>
  <sheets>
    <sheet name="Аркуш1" sheetId="1" r:id="rId1"/>
  </sheets>
  <definedNames>
    <definedName name="_xlnm.Print_Titles" localSheetId="0">Аркуш1!$9:$10</definedName>
    <definedName name="_xlnm.Print_Area" localSheetId="0">Аркуш1!$A$1:$O$92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O86" i="1"/>
  <c r="H80" i="1"/>
  <c r="G17" i="1" l="1"/>
  <c r="G16" i="1" s="1"/>
  <c r="G15" i="1"/>
  <c r="O88" i="1"/>
  <c r="O84" i="1"/>
  <c r="O83" i="1"/>
  <c r="O82" i="1"/>
  <c r="O81" i="1"/>
  <c r="O80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2" i="1"/>
  <c r="O61" i="1"/>
  <c r="O60" i="1"/>
  <c r="O59" i="1"/>
  <c r="O58" i="1"/>
  <c r="O56" i="1"/>
  <c r="O55" i="1"/>
  <c r="O54" i="1"/>
  <c r="O53" i="1"/>
  <c r="O51" i="1"/>
  <c r="O50" i="1"/>
  <c r="O49" i="1"/>
  <c r="O48" i="1"/>
  <c r="O47" i="1"/>
  <c r="O46" i="1"/>
  <c r="O44" i="1"/>
  <c r="O43" i="1"/>
  <c r="O42" i="1"/>
  <c r="O41" i="1"/>
  <c r="O40" i="1"/>
  <c r="O39" i="1"/>
  <c r="O38" i="1"/>
  <c r="O37" i="1"/>
  <c r="O36" i="1"/>
  <c r="O35" i="1"/>
  <c r="O33" i="1"/>
  <c r="O32" i="1"/>
  <c r="O31" i="1"/>
  <c r="O30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3" i="1"/>
  <c r="O12" i="1"/>
  <c r="M19" i="1" l="1"/>
  <c r="M22" i="1"/>
  <c r="M27" i="1"/>
  <c r="M28" i="1"/>
  <c r="M51" i="1"/>
  <c r="M58" i="1"/>
  <c r="M59" i="1"/>
  <c r="M62" i="1"/>
  <c r="M69" i="1"/>
  <c r="M71" i="1"/>
  <c r="M72" i="1"/>
  <c r="M74" i="1"/>
  <c r="M76" i="1"/>
  <c r="M81" i="1"/>
  <c r="M82" i="1"/>
  <c r="K12" i="1"/>
  <c r="Q12" i="1" s="1"/>
  <c r="K65" i="1"/>
  <c r="M65" i="1" s="1"/>
  <c r="K79" i="1"/>
  <c r="Q13" i="1"/>
  <c r="Q17" i="1"/>
  <c r="Q19" i="1"/>
  <c r="Q21" i="1"/>
  <c r="Q22" i="1"/>
  <c r="Q23" i="1"/>
  <c r="Q25" i="1"/>
  <c r="Q26" i="1"/>
  <c r="Q27" i="1"/>
  <c r="Q28" i="1"/>
  <c r="Q30" i="1"/>
  <c r="Q31" i="1"/>
  <c r="Q32" i="1"/>
  <c r="Q35" i="1"/>
  <c r="Q36" i="1"/>
  <c r="Q37" i="1"/>
  <c r="Q38" i="1"/>
  <c r="Q39" i="1"/>
  <c r="Q40" i="1"/>
  <c r="Q41" i="1"/>
  <c r="Q42" i="1"/>
  <c r="Q43" i="1"/>
  <c r="Q44" i="1"/>
  <c r="Q50" i="1"/>
  <c r="Q51" i="1"/>
  <c r="Q53" i="1"/>
  <c r="Q54" i="1"/>
  <c r="Q56" i="1"/>
  <c r="Q58" i="1"/>
  <c r="Q59" i="1"/>
  <c r="Q61" i="1"/>
  <c r="Q62" i="1"/>
  <c r="Q64" i="1"/>
  <c r="Q65" i="1"/>
  <c r="Q69" i="1"/>
  <c r="Q71" i="1"/>
  <c r="Q72" i="1"/>
  <c r="Q74" i="1"/>
  <c r="Q75" i="1"/>
  <c r="Q76" i="1"/>
  <c r="Q78" i="1"/>
  <c r="Q80" i="1"/>
  <c r="Q81" i="1"/>
  <c r="Q82" i="1"/>
  <c r="Q83" i="1"/>
  <c r="Q84" i="1"/>
  <c r="Q86" i="1"/>
  <c r="Q88" i="1"/>
  <c r="K66" i="1"/>
  <c r="M66" i="1" s="1"/>
  <c r="K70" i="1"/>
  <c r="M70" i="1" s="1"/>
  <c r="K68" i="1"/>
  <c r="M68" i="1" s="1"/>
  <c r="K67" i="1"/>
  <c r="Q67" i="1" s="1"/>
  <c r="K60" i="1"/>
  <c r="K57" i="1" s="1"/>
  <c r="K77" i="1"/>
  <c r="M77" i="1" s="1"/>
  <c r="K73" i="1"/>
  <c r="Q73" i="1" s="1"/>
  <c r="K47" i="1"/>
  <c r="M47" i="1" s="1"/>
  <c r="K55" i="1"/>
  <c r="K52" i="1" s="1"/>
  <c r="K18" i="1"/>
  <c r="M18" i="1" s="1"/>
  <c r="K16" i="1"/>
  <c r="Q16" i="1" s="1"/>
  <c r="K15" i="1"/>
  <c r="Q15" i="1" s="1"/>
  <c r="K33" i="1"/>
  <c r="K29" i="1" s="1"/>
  <c r="K48" i="1"/>
  <c r="M48" i="1" s="1"/>
  <c r="K24" i="1"/>
  <c r="M24" i="1" s="1"/>
  <c r="L15" i="1"/>
  <c r="K49" i="1"/>
  <c r="M49" i="1" s="1"/>
  <c r="K46" i="1"/>
  <c r="M46" i="1" s="1"/>
  <c r="K20" i="1"/>
  <c r="M20" i="1" s="1"/>
  <c r="H15" i="1"/>
  <c r="I15" i="1"/>
  <c r="H16" i="1"/>
  <c r="I16" i="1"/>
  <c r="H17" i="1"/>
  <c r="I17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I26" i="1"/>
  <c r="I27" i="1"/>
  <c r="H28" i="1"/>
  <c r="I28" i="1"/>
  <c r="H30" i="1"/>
  <c r="I30" i="1"/>
  <c r="H31" i="1"/>
  <c r="I31" i="1"/>
  <c r="H32" i="1"/>
  <c r="I32" i="1"/>
  <c r="H33" i="1"/>
  <c r="I33" i="1"/>
  <c r="H35" i="1"/>
  <c r="I35" i="1"/>
  <c r="H36" i="1"/>
  <c r="I36" i="1"/>
  <c r="I37" i="1"/>
  <c r="H38" i="1"/>
  <c r="I38" i="1"/>
  <c r="I39" i="1"/>
  <c r="H40" i="1"/>
  <c r="I40" i="1"/>
  <c r="I41" i="1"/>
  <c r="H42" i="1"/>
  <c r="I42" i="1"/>
  <c r="H43" i="1"/>
  <c r="I43" i="1"/>
  <c r="H44" i="1"/>
  <c r="I44" i="1"/>
  <c r="H46" i="1"/>
  <c r="I46" i="1"/>
  <c r="H47" i="1"/>
  <c r="I47" i="1"/>
  <c r="H49" i="1"/>
  <c r="I49" i="1"/>
  <c r="H50" i="1"/>
  <c r="I50" i="1"/>
  <c r="H51" i="1"/>
  <c r="I51" i="1"/>
  <c r="H53" i="1"/>
  <c r="I53" i="1"/>
  <c r="H54" i="1"/>
  <c r="I54" i="1"/>
  <c r="H55" i="1"/>
  <c r="I55" i="1"/>
  <c r="H56" i="1"/>
  <c r="I56" i="1"/>
  <c r="H58" i="1"/>
  <c r="I58" i="1"/>
  <c r="H60" i="1"/>
  <c r="I60" i="1"/>
  <c r="H61" i="1"/>
  <c r="I61" i="1"/>
  <c r="H62" i="1"/>
  <c r="I62" i="1"/>
  <c r="I64" i="1"/>
  <c r="H73" i="1"/>
  <c r="I73" i="1"/>
  <c r="I75" i="1"/>
  <c r="H78" i="1"/>
  <c r="I78" i="1"/>
  <c r="I80" i="1"/>
  <c r="I83" i="1"/>
  <c r="I84" i="1"/>
  <c r="H88" i="1"/>
  <c r="I88" i="1"/>
  <c r="H12" i="1"/>
  <c r="I12" i="1"/>
  <c r="H13" i="1"/>
  <c r="I13" i="1"/>
  <c r="F12" i="1"/>
  <c r="F13" i="1"/>
  <c r="F15" i="1"/>
  <c r="F16" i="1"/>
  <c r="F17" i="1"/>
  <c r="F19" i="1"/>
  <c r="F20" i="1"/>
  <c r="F22" i="1"/>
  <c r="F23" i="1"/>
  <c r="F24" i="1"/>
  <c r="F25" i="1"/>
  <c r="F27" i="1"/>
  <c r="F28" i="1"/>
  <c r="F30" i="1"/>
  <c r="F31" i="1"/>
  <c r="F32" i="1"/>
  <c r="F33" i="1"/>
  <c r="F35" i="1"/>
  <c r="F36" i="1"/>
  <c r="F37" i="1"/>
  <c r="F38" i="1"/>
  <c r="F39" i="1"/>
  <c r="F40" i="1"/>
  <c r="F42" i="1"/>
  <c r="F43" i="1"/>
  <c r="F44" i="1"/>
  <c r="F46" i="1"/>
  <c r="F47" i="1"/>
  <c r="F49" i="1"/>
  <c r="F50" i="1"/>
  <c r="F51" i="1"/>
  <c r="F53" i="1"/>
  <c r="F54" i="1"/>
  <c r="F55" i="1"/>
  <c r="F56" i="1"/>
  <c r="F58" i="1"/>
  <c r="F60" i="1"/>
  <c r="F61" i="1"/>
  <c r="F62" i="1"/>
  <c r="F73" i="1"/>
  <c r="F75" i="1"/>
  <c r="F78" i="1"/>
  <c r="F80" i="1"/>
  <c r="F83" i="1"/>
  <c r="F84" i="1"/>
  <c r="F88" i="1"/>
  <c r="D87" i="1"/>
  <c r="E87" i="1"/>
  <c r="G87" i="1"/>
  <c r="J87" i="1"/>
  <c r="K87" i="1"/>
  <c r="L87" i="1"/>
  <c r="N87" i="1"/>
  <c r="O87" i="1"/>
  <c r="C87" i="1"/>
  <c r="D79" i="1"/>
  <c r="E79" i="1"/>
  <c r="G79" i="1"/>
  <c r="J79" i="1"/>
  <c r="L79" i="1"/>
  <c r="M79" i="1" s="1"/>
  <c r="N79" i="1"/>
  <c r="O79" i="1"/>
  <c r="C79" i="1"/>
  <c r="D63" i="1"/>
  <c r="E63" i="1"/>
  <c r="G63" i="1"/>
  <c r="J63" i="1"/>
  <c r="L63" i="1"/>
  <c r="N63" i="1"/>
  <c r="O63" i="1"/>
  <c r="C63" i="1"/>
  <c r="D57" i="1"/>
  <c r="E57" i="1"/>
  <c r="G57" i="1"/>
  <c r="J57" i="1"/>
  <c r="Q57" i="1" s="1"/>
  <c r="L57" i="1"/>
  <c r="M57" i="1" s="1"/>
  <c r="N57" i="1"/>
  <c r="O57" i="1"/>
  <c r="C57" i="1"/>
  <c r="D52" i="1"/>
  <c r="E52" i="1"/>
  <c r="G52" i="1"/>
  <c r="J52" i="1"/>
  <c r="Q52" i="1" s="1"/>
  <c r="L52" i="1"/>
  <c r="M52" i="1" s="1"/>
  <c r="N52" i="1"/>
  <c r="O52" i="1"/>
  <c r="C52" i="1"/>
  <c r="C45" i="1"/>
  <c r="D45" i="1"/>
  <c r="E45" i="1"/>
  <c r="G45" i="1"/>
  <c r="J45" i="1"/>
  <c r="L45" i="1"/>
  <c r="N45" i="1"/>
  <c r="O45" i="1"/>
  <c r="N34" i="1"/>
  <c r="O34" i="1"/>
  <c r="D34" i="1"/>
  <c r="E34" i="1"/>
  <c r="G34" i="1"/>
  <c r="J34" i="1"/>
  <c r="K34" i="1"/>
  <c r="L34" i="1"/>
  <c r="C34" i="1"/>
  <c r="D29" i="1"/>
  <c r="E29" i="1"/>
  <c r="G29" i="1"/>
  <c r="J29" i="1"/>
  <c r="Q29" i="1" s="1"/>
  <c r="L29" i="1"/>
  <c r="M29" i="1" s="1"/>
  <c r="N29" i="1"/>
  <c r="O29" i="1"/>
  <c r="C29" i="1"/>
  <c r="G11" i="1"/>
  <c r="J11" i="1"/>
  <c r="L11" i="1"/>
  <c r="N11" i="1"/>
  <c r="O11" i="1"/>
  <c r="G14" i="1"/>
  <c r="J14" i="1"/>
  <c r="N14" i="1"/>
  <c r="D14" i="1"/>
  <c r="E14" i="1"/>
  <c r="C14" i="1"/>
  <c r="D11" i="1"/>
  <c r="E11" i="1"/>
  <c r="H11" i="1" s="1"/>
  <c r="C11" i="1"/>
  <c r="Q87" i="1" l="1"/>
  <c r="Q34" i="1"/>
  <c r="Q79" i="1"/>
  <c r="Q70" i="1"/>
  <c r="Q68" i="1"/>
  <c r="Q66" i="1"/>
  <c r="Q55" i="1"/>
  <c r="Q49" i="1"/>
  <c r="Q47" i="1"/>
  <c r="Q33" i="1"/>
  <c r="M73" i="1"/>
  <c r="M67" i="1"/>
  <c r="M16" i="1"/>
  <c r="L14" i="1"/>
  <c r="L89" i="1" s="1"/>
  <c r="O15" i="1"/>
  <c r="O14" i="1" s="1"/>
  <c r="Q77" i="1"/>
  <c r="Q60" i="1"/>
  <c r="Q48" i="1"/>
  <c r="Q46" i="1"/>
  <c r="Q24" i="1"/>
  <c r="Q20" i="1"/>
  <c r="Q18" i="1"/>
  <c r="M60" i="1"/>
  <c r="M55" i="1"/>
  <c r="M33" i="1"/>
  <c r="M15" i="1"/>
  <c r="M12" i="1"/>
  <c r="H14" i="1"/>
  <c r="K11" i="1"/>
  <c r="M11" i="1" s="1"/>
  <c r="I87" i="1"/>
  <c r="K63" i="1"/>
  <c r="Q63" i="1" s="1"/>
  <c r="K14" i="1"/>
  <c r="Q14" i="1" s="1"/>
  <c r="K45" i="1"/>
  <c r="Q45" i="1" s="1"/>
  <c r="H29" i="1"/>
  <c r="H52" i="1"/>
  <c r="H57" i="1"/>
  <c r="H63" i="1"/>
  <c r="H79" i="1"/>
  <c r="C89" i="1"/>
  <c r="N89" i="1"/>
  <c r="H34" i="1"/>
  <c r="H45" i="1"/>
  <c r="F52" i="1"/>
  <c r="I57" i="1"/>
  <c r="I63" i="1"/>
  <c r="F63" i="1"/>
  <c r="I79" i="1"/>
  <c r="O89" i="1"/>
  <c r="D89" i="1"/>
  <c r="H87" i="1"/>
  <c r="F29" i="1"/>
  <c r="I52" i="1"/>
  <c r="I45" i="1"/>
  <c r="I34" i="1"/>
  <c r="I29" i="1"/>
  <c r="I14" i="1"/>
  <c r="I11" i="1"/>
  <c r="F45" i="1"/>
  <c r="E89" i="1"/>
  <c r="F11" i="1"/>
  <c r="F87" i="1"/>
  <c r="F79" i="1"/>
  <c r="F57" i="1"/>
  <c r="F34" i="1"/>
  <c r="F14" i="1"/>
  <c r="J89" i="1"/>
  <c r="G89" i="1"/>
  <c r="K89" i="1" l="1"/>
  <c r="M14" i="1"/>
  <c r="M63" i="1"/>
  <c r="M45" i="1"/>
  <c r="M89" i="1"/>
  <c r="Q89" i="1"/>
  <c r="H89" i="1"/>
  <c r="I89" i="1"/>
  <c r="F89" i="1"/>
</calcChain>
</file>

<file path=xl/sharedStrings.xml><?xml version="1.0" encoding="utf-8"?>
<sst xmlns="http://schemas.openxmlformats.org/spreadsheetml/2006/main" count="178" uniqueCount="175">
  <si>
    <t>Загальний фонд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</si>
  <si>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</si>
  <si>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</si>
  <si>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</si>
  <si>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</si>
  <si>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</si>
  <si>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</si>
  <si>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</si>
  <si>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</si>
  <si>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</si>
  <si>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</si>
  <si>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</si>
  <si>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</si>
  <si>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</si>
  <si>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</si>
  <si>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</si>
  <si>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</si>
  <si>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1130</t>
  </si>
  <si>
    <t>Методичне забезпечення діяльності закладів освіти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</si>
  <si>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</si>
  <si>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</si>
  <si>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</si>
  <si>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</si>
  <si>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</si>
  <si>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</si>
  <si>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</si>
  <si>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</si>
  <si>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</si>
  <si>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</si>
  <si>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</si>
  <si>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</si>
  <si>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</si>
  <si>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</si>
  <si>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</si>
  <si>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</si>
  <si>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</si>
  <si>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</si>
  <si>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</si>
  <si>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</si>
  <si>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</si>
  <si>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</si>
  <si>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</si>
  <si>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</si>
  <si>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</si>
  <si>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</si>
  <si>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</si>
  <si>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</si>
  <si>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</si>
  <si>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</si>
  <si>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</si>
  <si>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</si>
  <si>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</si>
  <si>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</si>
  <si>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</si>
  <si>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</si>
  <si>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</si>
  <si>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</si>
  <si>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</si>
  <si>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</si>
  <si>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</si>
  <si>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</si>
  <si>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</si>
  <si>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</si>
  <si>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</si>
  <si>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</si>
  <si>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</si>
  <si>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</si>
  <si>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</si>
  <si>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</si>
  <si>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</si>
  <si>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</si>
  <si>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</si>
  <si>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</si>
  <si>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</si>
  <si>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</si>
  <si>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</si>
  <si>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</si>
  <si>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</si>
  <si>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</si>
  <si>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</si>
  <si>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</si>
  <si>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</si>
  <si>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</si>
  <si>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</si>
  <si>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</si>
  <si>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</si>
  <si>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</si>
  <si>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</si>
  <si>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</si>
  <si>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</si>
  <si>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</si>
  <si>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</si>
  <si>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</si>
  <si>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6071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</si>
  <si>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</si>
  <si>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</si>
  <si>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</si>
  <si>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</si>
  <si>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</si>
  <si>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</si>
  <si>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</si>
  <si>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</si>
  <si>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7622</t>
  </si>
  <si>
    <t>Реалізація програм і заходів в галузі туризму та курортів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</si>
  <si>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</si>
  <si>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</si>
  <si>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</si>
  <si>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</si>
  <si>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</si>
  <si>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</si>
  <si>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8600</t>
  </si>
  <si>
    <t>Обслуговування місцевого боргу</t>
  </si>
  <si>
    <t>8710</t>
  </si>
  <si>
    <t>Резервний фонд місцевого бюджету</t>
  </si>
  <si>
    <t>9000</t>
  </si>
  <si>
    <t>Міжбюджетні трансферти</t>
  </si>
  <si>
    <t>9110</t>
  </si>
  <si>
    <t>Реверсна дотація</t>
  </si>
  <si>
    <t xml:space="preserve"> </t>
  </si>
  <si>
    <t xml:space="preserve">Усього </t>
  </si>
  <si>
    <t>0100</t>
  </si>
  <si>
    <t>Державне управління</t>
  </si>
  <si>
    <t>Код ТПКВКМБ / 
ТКВКБМС</t>
  </si>
  <si>
    <t>Назва коду ТПКВКМБ/ТКВКБМС</t>
  </si>
  <si>
    <t>Спеціальний фонд</t>
  </si>
  <si>
    <t>Затверджено бюджетом на 2021 рік з урахуванням змін</t>
  </si>
  <si>
    <t>Затверджено розписом на січень - березень 2021 року з урахуванням змін</t>
  </si>
  <si>
    <t>Виконано за  січень-березень 2021 року</t>
  </si>
  <si>
    <t xml:space="preserve"> % виконання за січень-березень  2021 року</t>
  </si>
  <si>
    <t>Виконано за  січень-березень 2020 року</t>
  </si>
  <si>
    <t>Відхилення +/- (2021 до 2020 р.)</t>
  </si>
  <si>
    <t>Затверджено розписом на 2021 рік з урахуванням змін</t>
  </si>
  <si>
    <t>кошторисні призначення за 2021 рік з урахуванням змін</t>
  </si>
  <si>
    <t>виконано за січень - березень
   2020 рік</t>
  </si>
  <si>
    <t>4040</t>
  </si>
  <si>
    <t>Забезпечення діяльності музеїв i виставок</t>
  </si>
  <si>
    <t>6015</t>
  </si>
  <si>
    <t>Забезпечення надійної та безперебійної експлуатації ліфтів</t>
  </si>
  <si>
    <t>7310</t>
  </si>
  <si>
    <t>7321</t>
  </si>
  <si>
    <t>7322</t>
  </si>
  <si>
    <t>7324</t>
  </si>
  <si>
    <t>7325</t>
  </si>
  <si>
    <t>7330</t>
  </si>
  <si>
    <t>7340</t>
  </si>
  <si>
    <t>7350</t>
  </si>
  <si>
    <t>Будівництво-1 об`єктів житлово-комунального господарства</t>
  </si>
  <si>
    <t>Будівництво-1 освітніх установ та закладів</t>
  </si>
  <si>
    <t>Будівництво-1 медичних установ та закладів</t>
  </si>
  <si>
    <t>Будівництво-1 установ та закладів культури</t>
  </si>
  <si>
    <t>Будівництво-1 споруд, установ та закладів фізичної культури і спорту</t>
  </si>
  <si>
    <t>Будівництво-1 інших об`єктів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</si>
  <si>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</si>
  <si>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</si>
  <si>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7640</t>
  </si>
  <si>
    <t>Заходи з енергозбереження</t>
  </si>
  <si>
    <t>7650</t>
  </si>
  <si>
    <t>Проведення експертної грошової оцінки земельної ділянки чи права на неї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</si>
  <si>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</si>
  <si>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</si>
  <si>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8311</t>
  </si>
  <si>
    <t>Охорона та раціональне використання природних ресурсів</t>
  </si>
  <si>
    <t>8340</t>
  </si>
  <si>
    <t>Природоохоронні заходи за рахунок цільових фондів</t>
  </si>
  <si>
    <t xml:space="preserve"> % виконання до січеня-березень 2020 року</t>
  </si>
  <si>
    <t>Керуючий справами виконавчого комітету</t>
  </si>
  <si>
    <t>О. Лендєл</t>
  </si>
  <si>
    <t>Додаток 2
до рішення виконавчого комітету
___. 05. 2021  № ___</t>
  </si>
  <si>
    <t>тис. грн.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</si>
  <si>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</si>
  <si>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</si>
  <si>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</si>
  <si>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виконано за 
січень - березень
   2021 рік</t>
  </si>
  <si>
    <t>%, виконання 
січеня-березень 
2021 року 
до кошторисних призначень</t>
  </si>
  <si>
    <t>Дані про виконання видаткової частини бюджету Мукачівської міської територіальної громади  за січень-березень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</si>
</sst>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.0"/>
    <numFmt numFmtId="166" formatCode="0.0%"/>
    <numFmt numFmtId="167" formatCode="0.000"/>
  </numFmts>
  <fonts count="12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7" fontId="0" fillId="0" borderId="0" xfId="0" applyNumberFormat="1"/>
    <xf numFmtId="0" fontId="5" fillId="0" borderId="1" xfId="0" quotePrefix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/>
    <xf numFmtId="165" fontId="4" fillId="0" borderId="0" xfId="2" applyNumberFormat="1" applyFont="1"/>
    <xf numFmtId="0" fontId="5" fillId="0" borderId="0" xfId="0" applyFont="1"/>
    <xf numFmtId="0" fontId="9" fillId="3" borderId="0" xfId="3" applyFont="1" applyFill="1"/>
    <xf numFmtId="165" fontId="10" fillId="0" borderId="0" xfId="2" applyNumberFormat="1" applyFont="1"/>
    <xf numFmtId="0" fontId="10" fillId="0" borderId="0" xfId="2" applyFont="1"/>
    <xf numFmtId="0" fontId="4" fillId="0" borderId="0" xfId="2" applyFont="1"/>
    <xf numFmtId="165" fontId="4" fillId="0" borderId="0" xfId="2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" xfId="0" applyFont="1" applyBorder="1"/>
    <xf numFmtId="0" fontId="6" fillId="4" borderId="1" xfId="0" quotePrefix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6" fontId="6" fillId="4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</cellXfs>
  <cellStyles count="4">
    <cellStyle name="Відсотковий" xfId="1" builtinId="5"/>
    <cellStyle name="Звичайний" xfId="0" builtinId="0"/>
    <cellStyle name="Звичайний 2" xfId="2" xr:uid="{955CA587-F599-4D77-990D-CC43FE8533DB}"/>
    <cellStyle name="Обычный_ZV1PIV98" xfId="3" xr:uid="{02199CFC-8A35-4CA2-B048-A4780E6C3E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22EB0-BA16-4934-8A0E-A297524FA17E}">
  <sheetPr>
    <pageSetUpPr fitToPage="1"/>
  </sheetPr>
  <dimension ref="A1:V94"/>
  <sheetViews>
    <sheetView tabSelected="1" view="pageBreakPreview" zoomScale="60" zoomScaleNormal="85" workbookViewId="0">
      <pane xSplit="2" ySplit="11" topLeftCell="C90" activePane="bottomRight" state="frozen"/>
      <selection pane="topRight" activeCell="C1" sqref="C1"/>
      <selection pane="bottomLeft" activeCell="A11" sqref="A11"/>
      <selection pane="bottomRight" activeCell="F11" sqref="F11"/>
    </sheetView>
  </sheetViews>
  <sheetFormatPr defaultRowHeight="12.75" x14ac:dyDescent="0.2"/>
  <cols>
    <col min="1" max="1" width="10.7109375" customWidth="1"/>
    <col min="2" max="2" width="50.7109375" customWidth="1"/>
    <col min="3" max="3" width="20" customWidth="1"/>
    <col min="4" max="4" width="21.7109375" customWidth="1"/>
    <col min="5" max="5" width="18" customWidth="1"/>
    <col min="6" max="6" width="17.28515625" customWidth="1"/>
    <col min="7" max="7" width="17.42578125" customWidth="1"/>
    <col min="8" max="8" width="16.5703125" customWidth="1"/>
    <col min="9" max="9" width="18.7109375" customWidth="1"/>
    <col min="10" max="11" width="18" customWidth="1"/>
    <col min="12" max="12" width="16.85546875" customWidth="1"/>
    <col min="13" max="13" width="20.7109375" customWidth="1"/>
    <col min="14" max="14" width="13" customWidth="1"/>
    <col min="15" max="15" width="15.85546875" customWidth="1"/>
  </cols>
  <sheetData>
    <row r="1" spans="1:22" s="12" customFormat="1" ht="12.75" customHeight="1" x14ac:dyDescent="0.2">
      <c r="A1" s="20"/>
      <c r="B1" s="20"/>
      <c r="C1" s="20"/>
      <c r="D1" s="20"/>
      <c r="G1" s="26"/>
      <c r="H1" s="26"/>
      <c r="I1" s="26"/>
      <c r="J1" s="27"/>
      <c r="M1" s="26" t="s">
        <v>167</v>
      </c>
      <c r="N1" s="26"/>
      <c r="O1" s="26"/>
    </row>
    <row r="2" spans="1:22" s="12" customFormat="1" x14ac:dyDescent="0.2">
      <c r="A2" s="20"/>
      <c r="B2" s="20"/>
      <c r="C2" s="20"/>
      <c r="D2" s="20"/>
      <c r="G2" s="26"/>
      <c r="H2" s="26"/>
      <c r="I2" s="26"/>
      <c r="J2" s="27"/>
      <c r="M2" s="26"/>
      <c r="N2" s="26"/>
      <c r="O2" s="26"/>
    </row>
    <row r="3" spans="1:22" s="12" customFormat="1" x14ac:dyDescent="0.2">
      <c r="A3" s="20"/>
      <c r="B3" s="20"/>
      <c r="C3" s="20"/>
      <c r="D3" s="20"/>
      <c r="G3" s="26"/>
      <c r="H3" s="26"/>
      <c r="I3" s="26"/>
      <c r="J3" s="27"/>
      <c r="M3" s="26"/>
      <c r="N3" s="26"/>
      <c r="O3" s="26"/>
    </row>
    <row r="4" spans="1:22" s="12" customFormat="1" ht="12.75" customHeight="1" x14ac:dyDescent="0.2">
      <c r="A4" s="28" t="s">
        <v>174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22" s="12" customFormat="1" ht="12.7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22" s="12" customFormat="1" ht="18.7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22" s="12" customFormat="1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22" s="12" customFormat="1" ht="14.25" customHeight="1" x14ac:dyDescent="0.2">
      <c r="A8" s="30"/>
      <c r="B8" s="30"/>
      <c r="C8" s="20"/>
      <c r="D8" s="20"/>
      <c r="E8" s="20"/>
      <c r="F8" s="29"/>
      <c r="I8" s="29"/>
      <c r="O8" s="29" t="s">
        <v>168</v>
      </c>
    </row>
    <row r="9" spans="1:22" s="12" customFormat="1" ht="14.25" customHeight="1" x14ac:dyDescent="0.2">
      <c r="A9" s="36" t="s">
        <v>122</v>
      </c>
      <c r="B9" s="36" t="s">
        <v>123</v>
      </c>
      <c r="C9" s="37" t="s">
        <v>0</v>
      </c>
      <c r="D9" s="37"/>
      <c r="E9" s="37"/>
      <c r="F9" s="37"/>
      <c r="G9" s="37"/>
      <c r="H9" s="37"/>
      <c r="I9" s="37"/>
      <c r="J9" s="37" t="s">
        <v>124</v>
      </c>
      <c r="K9" s="37"/>
      <c r="L9" s="37"/>
      <c r="M9" s="37"/>
      <c r="N9" s="37"/>
      <c r="O9" s="37"/>
    </row>
    <row r="10" spans="1:22" s="1" customFormat="1" ht="91.5" customHeight="1" x14ac:dyDescent="0.2">
      <c r="A10" s="36"/>
      <c r="B10" s="36"/>
      <c r="C10" s="4" t="s">
        <v>125</v>
      </c>
      <c r="D10" s="4" t="s">
        <v>126</v>
      </c>
      <c r="E10" s="4" t="s">
        <v>127</v>
      </c>
      <c r="F10" s="4" t="s">
        <v>128</v>
      </c>
      <c r="G10" s="4" t="s">
        <v>129</v>
      </c>
      <c r="H10" s="38" t="s">
        <v>164</v>
      </c>
      <c r="I10" s="38" t="s">
        <v>130</v>
      </c>
      <c r="J10" s="4" t="s">
        <v>131</v>
      </c>
      <c r="K10" s="4" t="s">
        <v>132</v>
      </c>
      <c r="L10" s="4" t="s">
        <v>172</v>
      </c>
      <c r="M10" s="4" t="s">
        <v>173</v>
      </c>
      <c r="N10" s="4" t="s">
        <v>133</v>
      </c>
      <c r="O10" s="38" t="s">
        <v>130</v>
      </c>
      <c r="P10" s="3"/>
      <c r="Q10" s="3"/>
      <c r="R10" s="3"/>
      <c r="S10" s="3"/>
      <c r="T10" s="3"/>
      <c r="U10" s="3"/>
      <c r="V10" s="3"/>
    </row>
    <row r="11" spans="1:22" s="1" customFormat="1" ht="24" customHeight="1" x14ac:dyDescent="0.2">
      <c r="A11" s="31" t="s">
        <v>120</v>
      </c>
      <c r="B11" s="32" t="s">
        <v>121</v>
      </c>
      <c r="C11" s="33">
        <f>SUM(C12:C13)</f>
        <v>98340.516999999978</v>
      </c>
      <c r="D11" s="33">
        <f t="shared" ref="D11:E11" si="0">SUM(D12:D13)</f>
        <v>24194.715000000007</v>
      </c>
      <c r="E11" s="33">
        <f t="shared" si="0"/>
        <v>21024.817050000012</v>
      </c>
      <c r="F11" s="34">
        <f>E11/D11</f>
        <v>0.86898386899783719</v>
      </c>
      <c r="G11" s="33">
        <f t="shared" ref="G11" si="1">SUM(G12:G13)</f>
        <v>17669.490360000003</v>
      </c>
      <c r="H11" s="34">
        <f>E11/G11</f>
        <v>1.1898938012154421</v>
      </c>
      <c r="I11" s="33">
        <f>E11-G11</f>
        <v>3355.326690000009</v>
      </c>
      <c r="J11" s="33">
        <f t="shared" ref="J11" si="2">SUM(J12:J13)</f>
        <v>3304.8700000000003</v>
      </c>
      <c r="K11" s="33">
        <f t="shared" ref="K11" si="3">SUM(K12:K13)</f>
        <v>3369.87</v>
      </c>
      <c r="L11" s="33">
        <f t="shared" ref="L11" si="4">SUM(L12:L13)</f>
        <v>861.76967000000013</v>
      </c>
      <c r="M11" s="34">
        <f>L11/K11</f>
        <v>0.25572786784059925</v>
      </c>
      <c r="N11" s="33">
        <f t="shared" ref="N11" si="5">SUM(N12:N13)</f>
        <v>2419.7416700000003</v>
      </c>
      <c r="O11" s="33">
        <f t="shared" ref="O11" si="6">SUM(O12:O13)</f>
        <v>-1557.9720000000002</v>
      </c>
    </row>
    <row r="12" spans="1:22" ht="34.5" customHeight="1" x14ac:dyDescent="0.2">
      <c r="A12" s="14" t="s">
        <v>1</v>
      </c>
      <c r="B12" s="17" t="s">
        <v>2</v>
      </c>
      <c r="C12" s="15">
        <v>96125.516999999978</v>
      </c>
      <c r="D12" s="15">
        <v>23807.215000000007</v>
      </c>
      <c r="E12" s="15">
        <v>20701.223650000011</v>
      </c>
      <c r="F12" s="35">
        <f t="shared" ref="F12:F88" si="7">E12/D12</f>
        <v>0.86953571217801007</v>
      </c>
      <c r="G12" s="15">
        <v>17497.179360000002</v>
      </c>
      <c r="H12" s="35">
        <f t="shared" ref="H12:H13" si="8">E12/G12</f>
        <v>1.183117759958769</v>
      </c>
      <c r="I12" s="15">
        <f t="shared" ref="I12:I13" si="9">E12-G12</f>
        <v>3204.0442900000089</v>
      </c>
      <c r="J12" s="15">
        <v>3304.8700000000003</v>
      </c>
      <c r="K12" s="16">
        <f>844.14+1116.23+950+459.5</f>
        <v>3369.87</v>
      </c>
      <c r="L12" s="15">
        <v>861.76967000000013</v>
      </c>
      <c r="M12" s="35">
        <f t="shared" ref="M12:M74" si="10">L12/K12</f>
        <v>0.25572786784059925</v>
      </c>
      <c r="N12" s="15">
        <v>2419.7416700000003</v>
      </c>
      <c r="O12" s="16">
        <f>L12-N12</f>
        <v>-1557.9720000000002</v>
      </c>
      <c r="Q12" s="13">
        <f>J12-K12</f>
        <v>-64.999999999999545</v>
      </c>
    </row>
    <row r="13" spans="1:22" ht="21" customHeight="1" x14ac:dyDescent="0.2">
      <c r="A13" s="14" t="s">
        <v>3</v>
      </c>
      <c r="B13" s="17" t="s">
        <v>4</v>
      </c>
      <c r="C13" s="15">
        <v>2215</v>
      </c>
      <c r="D13" s="15">
        <v>387.5</v>
      </c>
      <c r="E13" s="15">
        <v>323.59339999999997</v>
      </c>
      <c r="F13" s="35">
        <f t="shared" si="7"/>
        <v>0.83507974193548384</v>
      </c>
      <c r="G13" s="15">
        <v>172.31099999999998</v>
      </c>
      <c r="H13" s="35">
        <f t="shared" si="8"/>
        <v>1.8779613605631678</v>
      </c>
      <c r="I13" s="15">
        <f t="shared" si="9"/>
        <v>151.2824</v>
      </c>
      <c r="J13" s="16"/>
      <c r="K13" s="16"/>
      <c r="L13" s="16"/>
      <c r="M13" s="35">
        <v>0</v>
      </c>
      <c r="N13" s="16"/>
      <c r="O13" s="16">
        <f>L13-N13</f>
        <v>0</v>
      </c>
      <c r="Q13" s="13">
        <f t="shared" ref="Q13:Q76" si="11">J13-K13</f>
        <v>0</v>
      </c>
    </row>
    <row r="14" spans="1:22" ht="23.25" customHeight="1" x14ac:dyDescent="0.2">
      <c r="A14" s="31" t="s">
        <v>5</v>
      </c>
      <c r="B14" s="32" t="s">
        <v>6</v>
      </c>
      <c r="C14" s="33">
        <f>SUM(C15:C28)</f>
        <v>560759.32740999991</v>
      </c>
      <c r="D14" s="33">
        <f t="shared" ref="D14:E14" si="12">SUM(D15:D28)</f>
        <v>129808.20439999999</v>
      </c>
      <c r="E14" s="33">
        <f t="shared" si="12"/>
        <v>118234.34733999998</v>
      </c>
      <c r="F14" s="34">
        <f t="shared" si="7"/>
        <v>0.91083878624238934</v>
      </c>
      <c r="G14" s="33">
        <f t="shared" ref="G14" si="13">SUM(G15:G28)</f>
        <v>86445.895529999994</v>
      </c>
      <c r="H14" s="34">
        <f t="shared" ref="H14:H89" si="14">E14/G14</f>
        <v>1.3677265602386892</v>
      </c>
      <c r="I14" s="33">
        <f t="shared" ref="I14:I89" si="15">E14-G14</f>
        <v>31788.451809999984</v>
      </c>
      <c r="J14" s="33">
        <f t="shared" ref="J14" si="16">SUM(J15:J28)</f>
        <v>31703.154000000002</v>
      </c>
      <c r="K14" s="33">
        <f t="shared" ref="K14" si="17">SUM(K15:K28)</f>
        <v>32137.573550000001</v>
      </c>
      <c r="L14" s="33">
        <f t="shared" ref="L14" si="18">SUM(L15:L28)</f>
        <v>2990.6548700000003</v>
      </c>
      <c r="M14" s="34">
        <f t="shared" si="10"/>
        <v>9.3057892667195469E-2</v>
      </c>
      <c r="N14" s="33">
        <f t="shared" ref="N14" si="19">SUM(N15:N28)</f>
        <v>1636.4685200000001</v>
      </c>
      <c r="O14" s="33">
        <f t="shared" ref="O14" si="20">SUM(O15:O28)</f>
        <v>1354.1863499999999</v>
      </c>
      <c r="Q14" s="13">
        <f t="shared" si="11"/>
        <v>-434.41954999999871</v>
      </c>
    </row>
    <row r="15" spans="1:22" ht="18" customHeight="1" x14ac:dyDescent="0.2">
      <c r="A15" s="14" t="s">
        <v>7</v>
      </c>
      <c r="B15" s="17" t="s">
        <v>8</v>
      </c>
      <c r="C15" s="15">
        <v>180074.59899999996</v>
      </c>
      <c r="D15" s="15">
        <v>43867.538999999997</v>
      </c>
      <c r="E15" s="15">
        <v>40616.3586</v>
      </c>
      <c r="F15" s="35">
        <f t="shared" si="7"/>
        <v>0.92588641911277503</v>
      </c>
      <c r="G15" s="15">
        <f>26501.34095-24.11479</f>
        <v>26477.226160000002</v>
      </c>
      <c r="H15" s="35">
        <f t="shared" si="14"/>
        <v>1.5340110914397989</v>
      </c>
      <c r="I15" s="15">
        <f t="shared" si="15"/>
        <v>14139.132439999998</v>
      </c>
      <c r="J15" s="15">
        <v>27004.219000000001</v>
      </c>
      <c r="K15" s="16">
        <f>26278.538+40.492+750.275</f>
        <v>27069.305</v>
      </c>
      <c r="L15" s="15">
        <f>2436.57378</f>
        <v>2436.5737800000002</v>
      </c>
      <c r="M15" s="35">
        <f t="shared" si="10"/>
        <v>9.0012424774112226E-2</v>
      </c>
      <c r="N15" s="15">
        <v>1077.7473199999999</v>
      </c>
      <c r="O15" s="16">
        <f t="shared" ref="O15:O28" si="21">L15-N15</f>
        <v>1358.8264600000002</v>
      </c>
      <c r="Q15" s="13">
        <f t="shared" si="11"/>
        <v>-65.085999999999331</v>
      </c>
    </row>
    <row r="16" spans="1:22" ht="32.25" customHeight="1" x14ac:dyDescent="0.2">
      <c r="A16" s="14" t="s">
        <v>9</v>
      </c>
      <c r="B16" s="17" t="s">
        <v>10</v>
      </c>
      <c r="C16" s="15">
        <v>73110.305000000008</v>
      </c>
      <c r="D16" s="15">
        <v>19478.995999999999</v>
      </c>
      <c r="E16" s="15">
        <v>15392.247299999999</v>
      </c>
      <c r="F16" s="35">
        <f t="shared" si="7"/>
        <v>0.79019715903222121</v>
      </c>
      <c r="G16" s="16">
        <f>50540.92506-G17-112.80248</f>
        <v>17229.794830000006</v>
      </c>
      <c r="H16" s="35">
        <f t="shared" si="14"/>
        <v>0.89335058553335045</v>
      </c>
      <c r="I16" s="15">
        <f t="shared" si="15"/>
        <v>-1837.5475300000071</v>
      </c>
      <c r="J16" s="15">
        <v>1236.1429999999998</v>
      </c>
      <c r="K16" s="16">
        <f>957.628+171.54311+348.8</f>
        <v>1477.97111</v>
      </c>
      <c r="L16" s="15">
        <v>256.03694999999999</v>
      </c>
      <c r="M16" s="35">
        <f t="shared" si="10"/>
        <v>0.17323542271404749</v>
      </c>
      <c r="N16" s="15">
        <v>551.81529</v>
      </c>
      <c r="O16" s="16">
        <f t="shared" si="21"/>
        <v>-295.77834000000001</v>
      </c>
      <c r="Q16" s="13">
        <f t="shared" si="11"/>
        <v>-241.82811000000015</v>
      </c>
    </row>
    <row r="17" spans="1:17" ht="31.5" customHeight="1" x14ac:dyDescent="0.2">
      <c r="A17" s="14" t="s">
        <v>11</v>
      </c>
      <c r="B17" s="17" t="s">
        <v>10</v>
      </c>
      <c r="C17" s="15">
        <v>248056.1</v>
      </c>
      <c r="D17" s="15">
        <v>52538.1</v>
      </c>
      <c r="E17" s="15">
        <v>50272.612359999999</v>
      </c>
      <c r="F17" s="35">
        <f t="shared" si="7"/>
        <v>0.95687914789457562</v>
      </c>
      <c r="G17" s="16">
        <f>33086.77175+111.556</f>
        <v>33198.327749999997</v>
      </c>
      <c r="H17" s="35">
        <f t="shared" si="14"/>
        <v>1.5143115863719974</v>
      </c>
      <c r="I17" s="15">
        <f t="shared" si="15"/>
        <v>17074.284610000002</v>
      </c>
      <c r="J17" s="16"/>
      <c r="K17" s="16"/>
      <c r="L17" s="16"/>
      <c r="M17" s="35">
        <v>0</v>
      </c>
      <c r="N17" s="16"/>
      <c r="O17" s="16">
        <f t="shared" si="21"/>
        <v>0</v>
      </c>
      <c r="Q17" s="13">
        <f t="shared" si="11"/>
        <v>0</v>
      </c>
    </row>
    <row r="18" spans="1:17" ht="30" customHeight="1" x14ac:dyDescent="0.2">
      <c r="A18" s="14" t="s">
        <v>12</v>
      </c>
      <c r="B18" s="17" t="s">
        <v>10</v>
      </c>
      <c r="C18" s="15">
        <v>309.49844999999999</v>
      </c>
      <c r="D18" s="15">
        <v>0</v>
      </c>
      <c r="E18" s="15">
        <v>0</v>
      </c>
      <c r="F18" s="35">
        <v>0</v>
      </c>
      <c r="G18" s="16"/>
      <c r="H18" s="35">
        <v>0</v>
      </c>
      <c r="I18" s="15">
        <f t="shared" si="15"/>
        <v>0</v>
      </c>
      <c r="J18" s="15">
        <v>1111.7750000000001</v>
      </c>
      <c r="K18" s="16">
        <f>1111.775</f>
        <v>1111.7750000000001</v>
      </c>
      <c r="L18" s="16"/>
      <c r="M18" s="35">
        <f t="shared" si="10"/>
        <v>0</v>
      </c>
      <c r="N18" s="16"/>
      <c r="O18" s="16">
        <f t="shared" si="21"/>
        <v>0</v>
      </c>
      <c r="Q18" s="13">
        <f t="shared" si="11"/>
        <v>0</v>
      </c>
    </row>
    <row r="19" spans="1:17" ht="29.25" customHeight="1" x14ac:dyDescent="0.2">
      <c r="A19" s="14" t="s">
        <v>13</v>
      </c>
      <c r="B19" s="17" t="s">
        <v>14</v>
      </c>
      <c r="C19" s="15">
        <v>10167.887999999999</v>
      </c>
      <c r="D19" s="15">
        <v>2456.6469999999999</v>
      </c>
      <c r="E19" s="15">
        <v>2275.1601999999998</v>
      </c>
      <c r="F19" s="35">
        <f t="shared" si="7"/>
        <v>0.92612418471192637</v>
      </c>
      <c r="G19" s="15">
        <v>1917.18139</v>
      </c>
      <c r="H19" s="35">
        <f t="shared" si="14"/>
        <v>1.1867214087656046</v>
      </c>
      <c r="I19" s="15">
        <f t="shared" si="15"/>
        <v>357.97880999999984</v>
      </c>
      <c r="J19" s="15">
        <v>160.96500000000003</v>
      </c>
      <c r="K19" s="16">
        <v>160.965</v>
      </c>
      <c r="L19" s="15">
        <v>2.9014499999999996</v>
      </c>
      <c r="M19" s="35">
        <f t="shared" si="10"/>
        <v>1.8025347125151428E-2</v>
      </c>
      <c r="N19" s="15">
        <v>0.50816000000000006</v>
      </c>
      <c r="O19" s="16">
        <f t="shared" si="21"/>
        <v>2.3932899999999995</v>
      </c>
      <c r="Q19" s="13">
        <f t="shared" si="11"/>
        <v>0</v>
      </c>
    </row>
    <row r="20" spans="1:17" ht="18" customHeight="1" x14ac:dyDescent="0.2">
      <c r="A20" s="14" t="s">
        <v>15</v>
      </c>
      <c r="B20" s="17" t="s">
        <v>16</v>
      </c>
      <c r="C20" s="15">
        <v>19747.774000000001</v>
      </c>
      <c r="D20" s="15">
        <v>5620.2999999999993</v>
      </c>
      <c r="E20" s="15">
        <v>5337.1183899999996</v>
      </c>
      <c r="F20" s="35">
        <f t="shared" si="7"/>
        <v>0.94961450278454895</v>
      </c>
      <c r="G20" s="15">
        <v>4693.4510699999992</v>
      </c>
      <c r="H20" s="35">
        <f t="shared" si="14"/>
        <v>1.1371415852429458</v>
      </c>
      <c r="I20" s="15">
        <f t="shared" si="15"/>
        <v>643.66732000000047</v>
      </c>
      <c r="J20" s="15">
        <v>1890</v>
      </c>
      <c r="K20" s="16">
        <f>99.17151+1790.82849</f>
        <v>1890</v>
      </c>
      <c r="L20" s="15">
        <v>240.79998000000003</v>
      </c>
      <c r="M20" s="35">
        <f t="shared" si="10"/>
        <v>0.12740739682539684</v>
      </c>
      <c r="N20" s="15">
        <v>4.68032</v>
      </c>
      <c r="O20" s="16">
        <f t="shared" si="21"/>
        <v>236.11966000000004</v>
      </c>
      <c r="Q20" s="13">
        <f t="shared" si="11"/>
        <v>0</v>
      </c>
    </row>
    <row r="21" spans="1:17" ht="18.75" customHeight="1" x14ac:dyDescent="0.2">
      <c r="A21" s="14" t="s">
        <v>17</v>
      </c>
      <c r="B21" s="17" t="s">
        <v>18</v>
      </c>
      <c r="C21" s="15">
        <v>0</v>
      </c>
      <c r="D21" s="15">
        <v>0</v>
      </c>
      <c r="E21" s="15">
        <v>0</v>
      </c>
      <c r="F21" s="35">
        <v>0</v>
      </c>
      <c r="G21" s="15">
        <v>361.37337000000008</v>
      </c>
      <c r="H21" s="35">
        <f t="shared" si="14"/>
        <v>0</v>
      </c>
      <c r="I21" s="15">
        <f t="shared" si="15"/>
        <v>-361.37337000000008</v>
      </c>
      <c r="J21" s="16"/>
      <c r="K21" s="16"/>
      <c r="L21" s="16"/>
      <c r="M21" s="35">
        <v>0</v>
      </c>
      <c r="N21" s="15">
        <v>0.31742999999999999</v>
      </c>
      <c r="O21" s="16">
        <f t="shared" si="21"/>
        <v>-0.31742999999999999</v>
      </c>
      <c r="Q21" s="13">
        <f t="shared" si="11"/>
        <v>0</v>
      </c>
    </row>
    <row r="22" spans="1:17" ht="21" customHeight="1" x14ac:dyDescent="0.2">
      <c r="A22" s="14" t="s">
        <v>19</v>
      </c>
      <c r="B22" s="17" t="s">
        <v>20</v>
      </c>
      <c r="C22" s="15">
        <v>13063.917400000002</v>
      </c>
      <c r="D22" s="15">
        <v>3476.6414000000004</v>
      </c>
      <c r="E22" s="15">
        <v>2884.9375799999998</v>
      </c>
      <c r="F22" s="35">
        <f t="shared" si="7"/>
        <v>0.82980590980709124</v>
      </c>
      <c r="G22" s="15">
        <v>1662.9290199999996</v>
      </c>
      <c r="H22" s="35">
        <f t="shared" si="14"/>
        <v>1.734853108763476</v>
      </c>
      <c r="I22" s="15">
        <f t="shared" si="15"/>
        <v>1222.0085600000002</v>
      </c>
      <c r="J22" s="16"/>
      <c r="K22" s="16">
        <v>126.767</v>
      </c>
      <c r="L22" s="15">
        <v>53.604089999999999</v>
      </c>
      <c r="M22" s="35">
        <f t="shared" si="10"/>
        <v>0.42285523835067484</v>
      </c>
      <c r="N22" s="15">
        <v>1.4000000000000001</v>
      </c>
      <c r="O22" s="16">
        <f t="shared" si="21"/>
        <v>52.204090000000001</v>
      </c>
      <c r="Q22" s="13">
        <f t="shared" si="11"/>
        <v>-126.767</v>
      </c>
    </row>
    <row r="23" spans="1:17" ht="21.75" customHeight="1" x14ac:dyDescent="0.2">
      <c r="A23" s="14" t="s">
        <v>21</v>
      </c>
      <c r="B23" s="17" t="s">
        <v>22</v>
      </c>
      <c r="C23" s="15">
        <v>7292.0249999999996</v>
      </c>
      <c r="D23" s="15">
        <v>735.86</v>
      </c>
      <c r="E23" s="15">
        <v>164.24054999999998</v>
      </c>
      <c r="F23" s="35">
        <f t="shared" si="7"/>
        <v>0.22319537683798546</v>
      </c>
      <c r="G23" s="15">
        <v>292.31447000000003</v>
      </c>
      <c r="H23" s="35">
        <f t="shared" si="14"/>
        <v>0.56186253797152075</v>
      </c>
      <c r="I23" s="15">
        <f t="shared" si="15"/>
        <v>-128.07392000000004</v>
      </c>
      <c r="J23" s="16"/>
      <c r="K23" s="16"/>
      <c r="L23" s="16"/>
      <c r="M23" s="35">
        <v>0</v>
      </c>
      <c r="N23" s="16"/>
      <c r="O23" s="16">
        <f t="shared" si="21"/>
        <v>0</v>
      </c>
      <c r="Q23" s="13">
        <f t="shared" si="11"/>
        <v>0</v>
      </c>
    </row>
    <row r="24" spans="1:17" ht="33" customHeight="1" x14ac:dyDescent="0.2">
      <c r="A24" s="14" t="s">
        <v>23</v>
      </c>
      <c r="B24" s="17" t="s">
        <v>24</v>
      </c>
      <c r="C24" s="15">
        <v>1198.4280000000003</v>
      </c>
      <c r="D24" s="15">
        <v>313.39400000000001</v>
      </c>
      <c r="E24" s="15">
        <v>248.86085</v>
      </c>
      <c r="F24" s="35">
        <f t="shared" si="7"/>
        <v>0.79408300733262283</v>
      </c>
      <c r="G24" s="16">
        <v>203.85685000000001</v>
      </c>
      <c r="H24" s="35">
        <f t="shared" si="14"/>
        <v>1.2207627558259631</v>
      </c>
      <c r="I24" s="15">
        <f t="shared" si="15"/>
        <v>45.003999999999991</v>
      </c>
      <c r="J24" s="15">
        <v>30.052</v>
      </c>
      <c r="K24" s="16">
        <f>30.052+0.10162</f>
        <v>30.15362</v>
      </c>
      <c r="L24" s="15">
        <v>0.10162</v>
      </c>
      <c r="M24" s="35">
        <f t="shared" si="10"/>
        <v>3.3700762959803831E-3</v>
      </c>
      <c r="N24" s="16"/>
      <c r="O24" s="16">
        <f t="shared" si="21"/>
        <v>0.10162</v>
      </c>
      <c r="Q24" s="13">
        <f t="shared" si="11"/>
        <v>-0.10162000000000049</v>
      </c>
    </row>
    <row r="25" spans="1:17" ht="29.25" customHeight="1" x14ac:dyDescent="0.2">
      <c r="A25" s="14" t="s">
        <v>25</v>
      </c>
      <c r="B25" s="17" t="s">
        <v>26</v>
      </c>
      <c r="C25" s="15">
        <v>1855.6</v>
      </c>
      <c r="D25" s="15">
        <v>242.5</v>
      </c>
      <c r="E25" s="15">
        <v>242.49955</v>
      </c>
      <c r="F25" s="35">
        <f t="shared" si="7"/>
        <v>0.99999814432989687</v>
      </c>
      <c r="G25" s="16">
        <v>272.52334999999999</v>
      </c>
      <c r="H25" s="35">
        <f t="shared" si="14"/>
        <v>0.88983035765559171</v>
      </c>
      <c r="I25" s="15">
        <f t="shared" si="15"/>
        <v>-30.023799999999994</v>
      </c>
      <c r="J25" s="16"/>
      <c r="K25" s="16"/>
      <c r="L25" s="16"/>
      <c r="M25" s="35">
        <v>0</v>
      </c>
      <c r="N25" s="16"/>
      <c r="O25" s="16">
        <f t="shared" si="21"/>
        <v>0</v>
      </c>
      <c r="Q25" s="13">
        <f t="shared" si="11"/>
        <v>0</v>
      </c>
    </row>
    <row r="26" spans="1:17" ht="73.5" customHeight="1" x14ac:dyDescent="0.2">
      <c r="A26" s="14" t="s">
        <v>27</v>
      </c>
      <c r="B26" s="17" t="s">
        <v>28</v>
      </c>
      <c r="C26" s="15">
        <v>515.64855999999997</v>
      </c>
      <c r="D26" s="15">
        <v>0</v>
      </c>
      <c r="E26" s="15">
        <v>0</v>
      </c>
      <c r="F26" s="35">
        <v>0</v>
      </c>
      <c r="G26" s="16"/>
      <c r="H26" s="35">
        <v>0</v>
      </c>
      <c r="I26" s="15">
        <f t="shared" si="15"/>
        <v>0</v>
      </c>
      <c r="J26" s="16"/>
      <c r="K26" s="16"/>
      <c r="L26" s="16"/>
      <c r="M26" s="35">
        <v>0</v>
      </c>
      <c r="N26" s="16"/>
      <c r="O26" s="16">
        <f t="shared" si="21"/>
        <v>0</v>
      </c>
      <c r="Q26" s="13">
        <f t="shared" si="11"/>
        <v>0</v>
      </c>
    </row>
    <row r="27" spans="1:17" ht="33.75" customHeight="1" x14ac:dyDescent="0.2">
      <c r="A27" s="14" t="s">
        <v>29</v>
      </c>
      <c r="B27" s="17" t="s">
        <v>30</v>
      </c>
      <c r="C27" s="15">
        <v>2980.1439999999998</v>
      </c>
      <c r="D27" s="15">
        <v>681.92699999999991</v>
      </c>
      <c r="E27" s="15">
        <v>521.80594999999994</v>
      </c>
      <c r="F27" s="35">
        <f t="shared" si="7"/>
        <v>0.76519326848768277</v>
      </c>
      <c r="G27" s="16"/>
      <c r="H27" s="35">
        <v>0</v>
      </c>
      <c r="I27" s="15">
        <f t="shared" si="15"/>
        <v>521.80594999999994</v>
      </c>
      <c r="J27" s="16"/>
      <c r="K27" s="16">
        <v>0.63682000000000005</v>
      </c>
      <c r="L27" s="15">
        <v>0.63700000000000001</v>
      </c>
      <c r="M27" s="35">
        <f t="shared" si="10"/>
        <v>1.0002826544392449</v>
      </c>
      <c r="N27" s="16"/>
      <c r="O27" s="16">
        <f t="shared" si="21"/>
        <v>0.63700000000000001</v>
      </c>
      <c r="Q27" s="13">
        <f t="shared" si="11"/>
        <v>-0.63682000000000005</v>
      </c>
    </row>
    <row r="28" spans="1:17" ht="43.5" customHeight="1" x14ac:dyDescent="0.2">
      <c r="A28" s="14" t="s">
        <v>31</v>
      </c>
      <c r="B28" s="17" t="s">
        <v>32</v>
      </c>
      <c r="C28" s="15">
        <v>2387.4</v>
      </c>
      <c r="D28" s="15">
        <v>396.3</v>
      </c>
      <c r="E28" s="15">
        <v>278.50601</v>
      </c>
      <c r="F28" s="35">
        <f t="shared" si="7"/>
        <v>0.70276560686348721</v>
      </c>
      <c r="G28" s="16">
        <v>136.91727</v>
      </c>
      <c r="H28" s="35">
        <f t="shared" si="14"/>
        <v>2.034118924515512</v>
      </c>
      <c r="I28" s="15">
        <f t="shared" si="15"/>
        <v>141.58874</v>
      </c>
      <c r="J28" s="15">
        <v>270</v>
      </c>
      <c r="K28" s="16">
        <v>270</v>
      </c>
      <c r="L28" s="15"/>
      <c r="M28" s="35">
        <f t="shared" si="10"/>
        <v>0</v>
      </c>
      <c r="N28" s="16"/>
      <c r="O28" s="16">
        <f t="shared" si="21"/>
        <v>0</v>
      </c>
      <c r="Q28" s="13">
        <f t="shared" si="11"/>
        <v>0</v>
      </c>
    </row>
    <row r="29" spans="1:17" ht="27" customHeight="1" x14ac:dyDescent="0.2">
      <c r="A29" s="31" t="s">
        <v>33</v>
      </c>
      <c r="B29" s="32" t="s">
        <v>34</v>
      </c>
      <c r="C29" s="33">
        <f>SUM(C30:C33)</f>
        <v>37092.909</v>
      </c>
      <c r="D29" s="33">
        <f t="shared" ref="D29:O29" si="22">SUM(D30:D33)</f>
        <v>10043.982</v>
      </c>
      <c r="E29" s="33">
        <f t="shared" si="22"/>
        <v>7644.5940899999996</v>
      </c>
      <c r="F29" s="34">
        <f t="shared" si="7"/>
        <v>0.76111188669991636</v>
      </c>
      <c r="G29" s="33">
        <f t="shared" si="22"/>
        <v>41898.917840000002</v>
      </c>
      <c r="H29" s="34">
        <f t="shared" si="14"/>
        <v>0.18245325855890887</v>
      </c>
      <c r="I29" s="33">
        <f t="shared" si="15"/>
        <v>-34254.323750000003</v>
      </c>
      <c r="J29" s="33">
        <f t="shared" si="22"/>
        <v>4567.5600000000004</v>
      </c>
      <c r="K29" s="33">
        <f t="shared" si="22"/>
        <v>4567.5600000000004</v>
      </c>
      <c r="L29" s="33">
        <f t="shared" si="22"/>
        <v>0</v>
      </c>
      <c r="M29" s="34">
        <f t="shared" si="10"/>
        <v>0</v>
      </c>
      <c r="N29" s="33">
        <f t="shared" si="22"/>
        <v>6806.5439999999999</v>
      </c>
      <c r="O29" s="33">
        <f t="shared" si="22"/>
        <v>-6806.5439999999999</v>
      </c>
      <c r="Q29" s="13">
        <f t="shared" si="11"/>
        <v>0</v>
      </c>
    </row>
    <row r="30" spans="1:17" ht="26.25" customHeight="1" x14ac:dyDescent="0.2">
      <c r="A30" s="14" t="s">
        <v>35</v>
      </c>
      <c r="B30" s="17" t="s">
        <v>36</v>
      </c>
      <c r="C30" s="15">
        <v>9191.6530000000002</v>
      </c>
      <c r="D30" s="15">
        <v>3093.9810000000002</v>
      </c>
      <c r="E30" s="15">
        <v>2095.6190700000002</v>
      </c>
      <c r="F30" s="35">
        <f t="shared" si="7"/>
        <v>0.67732124728626319</v>
      </c>
      <c r="G30" s="15">
        <v>37143.790610000004</v>
      </c>
      <c r="H30" s="35">
        <f t="shared" si="14"/>
        <v>5.6419095509218413E-2</v>
      </c>
      <c r="I30" s="15">
        <f t="shared" si="15"/>
        <v>-35048.171540000003</v>
      </c>
      <c r="J30" s="16"/>
      <c r="K30" s="16"/>
      <c r="L30" s="16"/>
      <c r="M30" s="35">
        <v>0</v>
      </c>
      <c r="N30" s="15">
        <v>6806.5439999999999</v>
      </c>
      <c r="O30" s="16">
        <f t="shared" ref="O30:O33" si="23">L30-N30</f>
        <v>-6806.5439999999999</v>
      </c>
      <c r="Q30" s="13">
        <f t="shared" si="11"/>
        <v>0</v>
      </c>
    </row>
    <row r="31" spans="1:17" ht="38.25" x14ac:dyDescent="0.2">
      <c r="A31" s="14" t="s">
        <v>37</v>
      </c>
      <c r="B31" s="17" t="s">
        <v>38</v>
      </c>
      <c r="C31" s="15">
        <v>1459.5160000000001</v>
      </c>
      <c r="D31" s="15">
        <v>587.90100000000007</v>
      </c>
      <c r="E31" s="15">
        <v>556.00139000000001</v>
      </c>
      <c r="F31" s="35">
        <f t="shared" si="7"/>
        <v>0.945739826943652</v>
      </c>
      <c r="G31" s="15">
        <v>233.43971999999999</v>
      </c>
      <c r="H31" s="35">
        <f t="shared" si="14"/>
        <v>2.3817771457231016</v>
      </c>
      <c r="I31" s="15">
        <f t="shared" si="15"/>
        <v>322.56167000000005</v>
      </c>
      <c r="J31" s="16"/>
      <c r="K31" s="16"/>
      <c r="L31" s="16"/>
      <c r="M31" s="35">
        <v>0</v>
      </c>
      <c r="N31" s="16"/>
      <c r="O31" s="16">
        <f t="shared" si="23"/>
        <v>0</v>
      </c>
      <c r="Q31" s="13">
        <f t="shared" si="11"/>
        <v>0</v>
      </c>
    </row>
    <row r="32" spans="1:17" ht="30" customHeight="1" x14ac:dyDescent="0.2">
      <c r="A32" s="14" t="s">
        <v>39</v>
      </c>
      <c r="B32" s="17" t="s">
        <v>40</v>
      </c>
      <c r="C32" s="15">
        <v>5742.2</v>
      </c>
      <c r="D32" s="15">
        <v>1997.1000000000001</v>
      </c>
      <c r="E32" s="15">
        <v>1173.77935</v>
      </c>
      <c r="F32" s="35">
        <f t="shared" si="7"/>
        <v>0.58774190075609634</v>
      </c>
      <c r="G32" s="15">
        <v>1261.7522900000001</v>
      </c>
      <c r="H32" s="35">
        <f t="shared" si="14"/>
        <v>0.93027717033111146</v>
      </c>
      <c r="I32" s="15">
        <f t="shared" si="15"/>
        <v>-87.972940000000108</v>
      </c>
      <c r="J32" s="16"/>
      <c r="K32" s="16"/>
      <c r="L32" s="16"/>
      <c r="M32" s="35">
        <v>0</v>
      </c>
      <c r="N32" s="16"/>
      <c r="O32" s="16">
        <f t="shared" si="23"/>
        <v>0</v>
      </c>
      <c r="Q32" s="13">
        <f t="shared" si="11"/>
        <v>0</v>
      </c>
    </row>
    <row r="33" spans="1:17" ht="21.75" customHeight="1" x14ac:dyDescent="0.2">
      <c r="A33" s="14" t="s">
        <v>41</v>
      </c>
      <c r="B33" s="17" t="s">
        <v>42</v>
      </c>
      <c r="C33" s="15">
        <v>20699.54</v>
      </c>
      <c r="D33" s="15">
        <v>4365</v>
      </c>
      <c r="E33" s="15">
        <v>3819.1942799999997</v>
      </c>
      <c r="F33" s="35">
        <f t="shared" si="7"/>
        <v>0.87495859793814423</v>
      </c>
      <c r="G33" s="15">
        <v>3259.9352200000003</v>
      </c>
      <c r="H33" s="35">
        <f t="shared" si="14"/>
        <v>1.1715552678988508</v>
      </c>
      <c r="I33" s="15">
        <f t="shared" si="15"/>
        <v>559.25905999999941</v>
      </c>
      <c r="J33" s="15">
        <v>4567.5600000000004</v>
      </c>
      <c r="K33" s="16">
        <f>4500+67.56</f>
        <v>4567.5600000000004</v>
      </c>
      <c r="L33" s="16"/>
      <c r="M33" s="35">
        <f t="shared" si="10"/>
        <v>0</v>
      </c>
      <c r="N33" s="16"/>
      <c r="O33" s="16">
        <f t="shared" si="23"/>
        <v>0</v>
      </c>
      <c r="Q33" s="13">
        <f t="shared" si="11"/>
        <v>0</v>
      </c>
    </row>
    <row r="34" spans="1:17" ht="24.75" customHeight="1" x14ac:dyDescent="0.2">
      <c r="A34" s="31" t="s">
        <v>43</v>
      </c>
      <c r="B34" s="32" t="s">
        <v>44</v>
      </c>
      <c r="C34" s="33">
        <f>SUM(C35:C44)</f>
        <v>30334.470999999998</v>
      </c>
      <c r="D34" s="33">
        <f t="shared" ref="D34:L34" si="24">SUM(D35:D44)</f>
        <v>8253.0010000000002</v>
      </c>
      <c r="E34" s="33">
        <f t="shared" si="24"/>
        <v>7631.8907600000002</v>
      </c>
      <c r="F34" s="34">
        <f t="shared" si="7"/>
        <v>0.92474128623030583</v>
      </c>
      <c r="G34" s="33">
        <f t="shared" si="24"/>
        <v>13629.66728</v>
      </c>
      <c r="H34" s="34">
        <f t="shared" si="14"/>
        <v>0.55994696005521272</v>
      </c>
      <c r="I34" s="33">
        <f t="shared" si="15"/>
        <v>-5997.7765199999994</v>
      </c>
      <c r="J34" s="33">
        <f t="shared" si="24"/>
        <v>0</v>
      </c>
      <c r="K34" s="33">
        <f t="shared" si="24"/>
        <v>0</v>
      </c>
      <c r="L34" s="33">
        <f t="shared" si="24"/>
        <v>0</v>
      </c>
      <c r="M34" s="34">
        <v>0</v>
      </c>
      <c r="N34" s="33">
        <f t="shared" ref="N34" si="25">SUM(N35:N44)</f>
        <v>11.24962</v>
      </c>
      <c r="O34" s="33">
        <f t="shared" ref="O34" si="26">SUM(O35:O44)</f>
        <v>-11.24962</v>
      </c>
      <c r="Q34" s="13">
        <f t="shared" si="11"/>
        <v>0</v>
      </c>
    </row>
    <row r="35" spans="1:17" ht="30.75" customHeight="1" x14ac:dyDescent="0.2">
      <c r="A35" s="14" t="s">
        <v>45</v>
      </c>
      <c r="B35" s="17" t="s">
        <v>46</v>
      </c>
      <c r="C35" s="15">
        <v>350</v>
      </c>
      <c r="D35" s="15">
        <v>87.600000000000009</v>
      </c>
      <c r="E35" s="15">
        <v>18.813800000000001</v>
      </c>
      <c r="F35" s="35">
        <f t="shared" si="7"/>
        <v>0.21476940639269404</v>
      </c>
      <c r="G35" s="15">
        <v>0.22144</v>
      </c>
      <c r="H35" s="35">
        <f t="shared" si="14"/>
        <v>84.961163294797686</v>
      </c>
      <c r="I35" s="15">
        <f t="shared" si="15"/>
        <v>18.592359999999999</v>
      </c>
      <c r="J35" s="16"/>
      <c r="K35" s="16"/>
      <c r="L35" s="16"/>
      <c r="M35" s="35">
        <v>0</v>
      </c>
      <c r="N35" s="16"/>
      <c r="O35" s="16">
        <f t="shared" ref="O35:O44" si="27">L35-N35</f>
        <v>0</v>
      </c>
      <c r="Q35" s="13">
        <f t="shared" si="11"/>
        <v>0</v>
      </c>
    </row>
    <row r="36" spans="1:17" ht="33.75" customHeight="1" x14ac:dyDescent="0.2">
      <c r="A36" s="14" t="s">
        <v>47</v>
      </c>
      <c r="B36" s="17" t="s">
        <v>48</v>
      </c>
      <c r="C36" s="15">
        <v>8000</v>
      </c>
      <c r="D36" s="15">
        <v>1914.895</v>
      </c>
      <c r="E36" s="15">
        <v>1829.2719999999999</v>
      </c>
      <c r="F36" s="35">
        <f t="shared" si="7"/>
        <v>0.95528579896025623</v>
      </c>
      <c r="G36" s="15">
        <v>2427.134</v>
      </c>
      <c r="H36" s="35">
        <f t="shared" si="14"/>
        <v>0.7536757344258701</v>
      </c>
      <c r="I36" s="15">
        <f t="shared" si="15"/>
        <v>-597.86200000000008</v>
      </c>
      <c r="J36" s="16"/>
      <c r="K36" s="16"/>
      <c r="L36" s="16"/>
      <c r="M36" s="35">
        <v>0</v>
      </c>
      <c r="N36" s="16"/>
      <c r="O36" s="16">
        <f t="shared" si="27"/>
        <v>0</v>
      </c>
      <c r="Q36" s="13">
        <f t="shared" si="11"/>
        <v>0</v>
      </c>
    </row>
    <row r="37" spans="1:17" ht="36" customHeight="1" x14ac:dyDescent="0.2">
      <c r="A37" s="14" t="s">
        <v>49</v>
      </c>
      <c r="B37" s="17" t="s">
        <v>50</v>
      </c>
      <c r="C37" s="15">
        <v>1000</v>
      </c>
      <c r="D37" s="15">
        <v>120</v>
      </c>
      <c r="E37" s="15">
        <v>54.091830000000002</v>
      </c>
      <c r="F37" s="35">
        <f t="shared" si="7"/>
        <v>0.45076525000000001</v>
      </c>
      <c r="G37" s="16"/>
      <c r="H37" s="35">
        <v>0</v>
      </c>
      <c r="I37" s="15">
        <f t="shared" si="15"/>
        <v>54.091830000000002</v>
      </c>
      <c r="J37" s="16"/>
      <c r="K37" s="16"/>
      <c r="L37" s="16"/>
      <c r="M37" s="35">
        <v>0</v>
      </c>
      <c r="N37" s="16"/>
      <c r="O37" s="16">
        <f t="shared" si="27"/>
        <v>0</v>
      </c>
      <c r="Q37" s="13">
        <f t="shared" si="11"/>
        <v>0</v>
      </c>
    </row>
    <row r="38" spans="1:17" ht="46.5" customHeight="1" x14ac:dyDescent="0.2">
      <c r="A38" s="14" t="s">
        <v>51</v>
      </c>
      <c r="B38" s="17" t="s">
        <v>52</v>
      </c>
      <c r="C38" s="15">
        <v>2461.1709999999998</v>
      </c>
      <c r="D38" s="15">
        <v>591.6</v>
      </c>
      <c r="E38" s="15">
        <v>526.87662000000012</v>
      </c>
      <c r="F38" s="35">
        <f t="shared" si="7"/>
        <v>0.89059604462474662</v>
      </c>
      <c r="G38" s="15">
        <v>414.93229000000002</v>
      </c>
      <c r="H38" s="35">
        <f t="shared" si="14"/>
        <v>1.2697893914209475</v>
      </c>
      <c r="I38" s="15">
        <f t="shared" si="15"/>
        <v>111.94433000000009</v>
      </c>
      <c r="J38" s="16"/>
      <c r="K38" s="16"/>
      <c r="L38" s="16"/>
      <c r="M38" s="35">
        <v>0</v>
      </c>
      <c r="N38" s="16"/>
      <c r="O38" s="16">
        <f t="shared" si="27"/>
        <v>0</v>
      </c>
      <c r="Q38" s="13">
        <f t="shared" si="11"/>
        <v>0</v>
      </c>
    </row>
    <row r="39" spans="1:17" ht="32.25" customHeight="1" x14ac:dyDescent="0.2">
      <c r="A39" s="14" t="s">
        <v>53</v>
      </c>
      <c r="B39" s="17" t="s">
        <v>54</v>
      </c>
      <c r="C39" s="15">
        <v>200</v>
      </c>
      <c r="D39" s="15">
        <v>100</v>
      </c>
      <c r="E39" s="15">
        <v>0</v>
      </c>
      <c r="F39" s="35">
        <f t="shared" si="7"/>
        <v>0</v>
      </c>
      <c r="G39" s="16"/>
      <c r="H39" s="35">
        <v>0</v>
      </c>
      <c r="I39" s="15">
        <f t="shared" si="15"/>
        <v>0</v>
      </c>
      <c r="J39" s="16"/>
      <c r="K39" s="16"/>
      <c r="L39" s="16"/>
      <c r="M39" s="35">
        <v>0</v>
      </c>
      <c r="N39" s="16"/>
      <c r="O39" s="16">
        <f t="shared" si="27"/>
        <v>0</v>
      </c>
      <c r="Q39" s="13">
        <f t="shared" si="11"/>
        <v>0</v>
      </c>
    </row>
    <row r="40" spans="1:17" ht="34.5" customHeight="1" x14ac:dyDescent="0.2">
      <c r="A40" s="14" t="s">
        <v>55</v>
      </c>
      <c r="B40" s="17" t="s">
        <v>56</v>
      </c>
      <c r="C40" s="15">
        <v>561</v>
      </c>
      <c r="D40" s="15">
        <v>250</v>
      </c>
      <c r="E40" s="15">
        <v>80.816000000000003</v>
      </c>
      <c r="F40" s="35">
        <f t="shared" si="7"/>
        <v>0.323264</v>
      </c>
      <c r="G40" s="15">
        <v>62.77</v>
      </c>
      <c r="H40" s="35">
        <f t="shared" si="14"/>
        <v>1.2874940258085072</v>
      </c>
      <c r="I40" s="15">
        <f t="shared" si="15"/>
        <v>18.045999999999999</v>
      </c>
      <c r="J40" s="16"/>
      <c r="K40" s="16"/>
      <c r="L40" s="16"/>
      <c r="M40" s="35">
        <v>0</v>
      </c>
      <c r="N40" s="16"/>
      <c r="O40" s="16">
        <f t="shared" si="27"/>
        <v>0</v>
      </c>
      <c r="Q40" s="13">
        <f t="shared" si="11"/>
        <v>0</v>
      </c>
    </row>
    <row r="41" spans="1:17" ht="59.25" customHeight="1" x14ac:dyDescent="0.2">
      <c r="A41" s="14" t="s">
        <v>57</v>
      </c>
      <c r="B41" s="17" t="s">
        <v>58</v>
      </c>
      <c r="C41" s="15">
        <v>198</v>
      </c>
      <c r="D41" s="15">
        <v>0</v>
      </c>
      <c r="E41" s="15">
        <v>0</v>
      </c>
      <c r="F41" s="35">
        <v>0</v>
      </c>
      <c r="G41" s="16"/>
      <c r="H41" s="35">
        <v>0</v>
      </c>
      <c r="I41" s="15">
        <f t="shared" si="15"/>
        <v>0</v>
      </c>
      <c r="J41" s="16"/>
      <c r="K41" s="16"/>
      <c r="L41" s="16"/>
      <c r="M41" s="35">
        <v>0</v>
      </c>
      <c r="N41" s="16"/>
      <c r="O41" s="16">
        <f t="shared" si="27"/>
        <v>0</v>
      </c>
      <c r="Q41" s="13">
        <f t="shared" si="11"/>
        <v>0</v>
      </c>
    </row>
    <row r="42" spans="1:17" ht="61.5" customHeight="1" x14ac:dyDescent="0.2">
      <c r="A42" s="14" t="s">
        <v>59</v>
      </c>
      <c r="B42" s="17" t="s">
        <v>60</v>
      </c>
      <c r="C42" s="15">
        <v>475</v>
      </c>
      <c r="D42" s="15">
        <v>134.4</v>
      </c>
      <c r="E42" s="15">
        <v>127.38655000000001</v>
      </c>
      <c r="F42" s="35">
        <f t="shared" si="7"/>
        <v>0.94781659226190484</v>
      </c>
      <c r="G42" s="15">
        <v>68.762340000000009</v>
      </c>
      <c r="H42" s="35">
        <f t="shared" si="14"/>
        <v>1.8525627545543097</v>
      </c>
      <c r="I42" s="15">
        <f t="shared" si="15"/>
        <v>58.624210000000005</v>
      </c>
      <c r="J42" s="16"/>
      <c r="K42" s="16"/>
      <c r="L42" s="16"/>
      <c r="M42" s="35">
        <v>0</v>
      </c>
      <c r="N42" s="16"/>
      <c r="O42" s="16">
        <f t="shared" si="27"/>
        <v>0</v>
      </c>
      <c r="Q42" s="13">
        <f t="shared" si="11"/>
        <v>0</v>
      </c>
    </row>
    <row r="43" spans="1:17" ht="24" customHeight="1" x14ac:dyDescent="0.2">
      <c r="A43" s="14" t="s">
        <v>61</v>
      </c>
      <c r="B43" s="17" t="s">
        <v>62</v>
      </c>
      <c r="C43" s="15">
        <v>241.3</v>
      </c>
      <c r="D43" s="15">
        <v>63.006</v>
      </c>
      <c r="E43" s="15">
        <v>3.2159599999999999</v>
      </c>
      <c r="F43" s="35">
        <f t="shared" si="7"/>
        <v>5.1042122972415324E-2</v>
      </c>
      <c r="G43" s="15">
        <v>18.328679999999999</v>
      </c>
      <c r="H43" s="35">
        <f t="shared" si="14"/>
        <v>0.17546053507399334</v>
      </c>
      <c r="I43" s="15">
        <f t="shared" si="15"/>
        <v>-15.112719999999999</v>
      </c>
      <c r="J43" s="16"/>
      <c r="K43" s="16"/>
      <c r="L43" s="16"/>
      <c r="M43" s="35">
        <v>0</v>
      </c>
      <c r="N43" s="15">
        <v>11.24962</v>
      </c>
      <c r="O43" s="16">
        <f t="shared" si="27"/>
        <v>-11.24962</v>
      </c>
      <c r="Q43" s="13">
        <f t="shared" si="11"/>
        <v>0</v>
      </c>
    </row>
    <row r="44" spans="1:17" ht="32.25" customHeight="1" x14ac:dyDescent="0.2">
      <c r="A44" s="14" t="s">
        <v>63</v>
      </c>
      <c r="B44" s="17" t="s">
        <v>64</v>
      </c>
      <c r="C44" s="15">
        <v>16848</v>
      </c>
      <c r="D44" s="15">
        <v>4991.5</v>
      </c>
      <c r="E44" s="15">
        <v>4991.4179999999997</v>
      </c>
      <c r="F44" s="35">
        <f t="shared" si="7"/>
        <v>0.9999835720725232</v>
      </c>
      <c r="G44" s="15">
        <v>10637.518529999999</v>
      </c>
      <c r="H44" s="35">
        <f t="shared" si="14"/>
        <v>0.46922766676487282</v>
      </c>
      <c r="I44" s="15">
        <f t="shared" si="15"/>
        <v>-5646.1005299999997</v>
      </c>
      <c r="J44" s="16"/>
      <c r="K44" s="16"/>
      <c r="L44" s="16"/>
      <c r="M44" s="35">
        <v>0</v>
      </c>
      <c r="N44" s="16"/>
      <c r="O44" s="16">
        <f t="shared" si="27"/>
        <v>0</v>
      </c>
      <c r="Q44" s="13">
        <f t="shared" si="11"/>
        <v>0</v>
      </c>
    </row>
    <row r="45" spans="1:17" ht="23.25" customHeight="1" x14ac:dyDescent="0.2">
      <c r="A45" s="31" t="s">
        <v>65</v>
      </c>
      <c r="B45" s="32" t="s">
        <v>66</v>
      </c>
      <c r="C45" s="33">
        <f>SUM(C46:C51)</f>
        <v>23091.391599999999</v>
      </c>
      <c r="D45" s="33">
        <f>SUM(D46:D51)</f>
        <v>6103.0636000000004</v>
      </c>
      <c r="E45" s="33">
        <f>SUM(E46:E51)</f>
        <v>5227.0813599999992</v>
      </c>
      <c r="F45" s="34">
        <f t="shared" si="7"/>
        <v>0.85646843988320864</v>
      </c>
      <c r="G45" s="33">
        <f>SUM(G46:G51)</f>
        <v>3689.6403099999998</v>
      </c>
      <c r="H45" s="34">
        <f t="shared" si="14"/>
        <v>1.4166913088609441</v>
      </c>
      <c r="I45" s="33">
        <f t="shared" si="15"/>
        <v>1537.4410499999994</v>
      </c>
      <c r="J45" s="33">
        <f t="shared" ref="J45:O45" si="28">SUM(J46:J51)</f>
        <v>10112.400000000001</v>
      </c>
      <c r="K45" s="33">
        <f t="shared" si="28"/>
        <v>10278.468949999999</v>
      </c>
      <c r="L45" s="33">
        <f t="shared" si="28"/>
        <v>1693.9504300000003</v>
      </c>
      <c r="M45" s="34">
        <f t="shared" si="10"/>
        <v>0.16480571554385057</v>
      </c>
      <c r="N45" s="33">
        <f t="shared" si="28"/>
        <v>2089.7462300000002</v>
      </c>
      <c r="O45" s="33">
        <f t="shared" si="28"/>
        <v>-395.79579999999976</v>
      </c>
      <c r="Q45" s="13">
        <f t="shared" si="11"/>
        <v>-166.06894999999713</v>
      </c>
    </row>
    <row r="46" spans="1:17" ht="19.5" customHeight="1" x14ac:dyDescent="0.2">
      <c r="A46" s="14" t="s">
        <v>67</v>
      </c>
      <c r="B46" s="17" t="s">
        <v>68</v>
      </c>
      <c r="C46" s="15">
        <v>8095.0769999999993</v>
      </c>
      <c r="D46" s="15">
        <v>2073.4480000000003</v>
      </c>
      <c r="E46" s="15">
        <v>1849.4558000000002</v>
      </c>
      <c r="F46" s="35">
        <f t="shared" si="7"/>
        <v>0.89197115143471162</v>
      </c>
      <c r="G46" s="15">
        <v>1367.3856900000001</v>
      </c>
      <c r="H46" s="35">
        <f t="shared" si="14"/>
        <v>1.3525487457748662</v>
      </c>
      <c r="I46" s="15">
        <f t="shared" si="15"/>
        <v>482.07011000000011</v>
      </c>
      <c r="J46" s="15">
        <v>821.2</v>
      </c>
      <c r="K46" s="16">
        <f>114.75119+706.44881</f>
        <v>821.19999999999993</v>
      </c>
      <c r="L46" s="15">
        <v>101.01840000000001</v>
      </c>
      <c r="M46" s="35">
        <f t="shared" si="10"/>
        <v>0.12301315148563081</v>
      </c>
      <c r="N46" s="15">
        <v>320.87700000000001</v>
      </c>
      <c r="O46" s="16">
        <f t="shared" ref="O46:O51" si="29">L46-N46</f>
        <v>-219.8586</v>
      </c>
      <c r="Q46" s="13">
        <f t="shared" si="11"/>
        <v>0</v>
      </c>
    </row>
    <row r="47" spans="1:17" ht="22.5" customHeight="1" x14ac:dyDescent="0.2">
      <c r="A47" s="14" t="s">
        <v>69</v>
      </c>
      <c r="B47" s="17" t="s">
        <v>70</v>
      </c>
      <c r="C47" s="15">
        <v>4509.0779999999995</v>
      </c>
      <c r="D47" s="15">
        <v>1182.9249999999997</v>
      </c>
      <c r="E47" s="15">
        <v>1059.70081</v>
      </c>
      <c r="F47" s="35">
        <f t="shared" si="7"/>
        <v>0.89583093602722086</v>
      </c>
      <c r="G47" s="15">
        <v>733.82830999999987</v>
      </c>
      <c r="H47" s="35">
        <f t="shared" si="14"/>
        <v>1.4440718565354889</v>
      </c>
      <c r="I47" s="15">
        <f t="shared" si="15"/>
        <v>325.87250000000017</v>
      </c>
      <c r="J47" s="15">
        <v>181</v>
      </c>
      <c r="K47" s="16">
        <f>78.719+132.281+56.99495+1.302+38.698</f>
        <v>307.99495000000002</v>
      </c>
      <c r="L47" s="15">
        <v>104.41194999999999</v>
      </c>
      <c r="M47" s="35">
        <f t="shared" si="10"/>
        <v>0.33900539603003227</v>
      </c>
      <c r="N47" s="15">
        <v>66.982029999999995</v>
      </c>
      <c r="O47" s="16">
        <f t="shared" si="29"/>
        <v>37.429919999999996</v>
      </c>
      <c r="Q47" s="13">
        <f t="shared" si="11"/>
        <v>-126.99495000000002</v>
      </c>
    </row>
    <row r="48" spans="1:17" s="5" customFormat="1" ht="18" customHeight="1" x14ac:dyDescent="0.2">
      <c r="A48" s="14" t="s">
        <v>134</v>
      </c>
      <c r="B48" s="17" t="s">
        <v>135</v>
      </c>
      <c r="C48" s="15"/>
      <c r="D48" s="15"/>
      <c r="E48" s="15"/>
      <c r="F48" s="35"/>
      <c r="G48" s="15"/>
      <c r="H48" s="35"/>
      <c r="I48" s="15"/>
      <c r="J48" s="15">
        <v>8600</v>
      </c>
      <c r="K48" s="16">
        <f>938.09241+7661.90759+22.456+10.874</f>
        <v>8633.33</v>
      </c>
      <c r="L48" s="15">
        <v>1475.8030800000001</v>
      </c>
      <c r="M48" s="35">
        <f t="shared" si="10"/>
        <v>0.17094250769980995</v>
      </c>
      <c r="N48" s="15">
        <v>1436.6351999999999</v>
      </c>
      <c r="O48" s="16">
        <f t="shared" si="29"/>
        <v>39.167880000000196</v>
      </c>
      <c r="Q48" s="13">
        <f t="shared" si="11"/>
        <v>-33.329999999999927</v>
      </c>
    </row>
    <row r="49" spans="1:17" ht="33.75" customHeight="1" x14ac:dyDescent="0.2">
      <c r="A49" s="14" t="s">
        <v>71</v>
      </c>
      <c r="B49" s="17" t="s">
        <v>72</v>
      </c>
      <c r="C49" s="15">
        <v>8022.8350000000009</v>
      </c>
      <c r="D49" s="15">
        <v>2097.7539999999999</v>
      </c>
      <c r="E49" s="15">
        <v>1758.5231499999995</v>
      </c>
      <c r="F49" s="35">
        <f t="shared" si="7"/>
        <v>0.83828854574940603</v>
      </c>
      <c r="G49" s="15">
        <v>998.46930999999995</v>
      </c>
      <c r="H49" s="35">
        <f t="shared" si="14"/>
        <v>1.7612190303575777</v>
      </c>
      <c r="I49" s="15">
        <f t="shared" si="15"/>
        <v>760.05383999999958</v>
      </c>
      <c r="J49" s="15">
        <v>460.2</v>
      </c>
      <c r="K49" s="16">
        <f>12.717+453.227</f>
        <v>465.94399999999996</v>
      </c>
      <c r="L49" s="15">
        <v>12.717000000000001</v>
      </c>
      <c r="M49" s="35">
        <f t="shared" si="10"/>
        <v>2.7292979413835142E-2</v>
      </c>
      <c r="N49" s="15">
        <v>0</v>
      </c>
      <c r="O49" s="16">
        <f t="shared" si="29"/>
        <v>12.717000000000001</v>
      </c>
      <c r="Q49" s="13">
        <f t="shared" si="11"/>
        <v>-5.7439999999999714</v>
      </c>
    </row>
    <row r="50" spans="1:17" ht="34.5" customHeight="1" x14ac:dyDescent="0.2">
      <c r="A50" s="14" t="s">
        <v>73</v>
      </c>
      <c r="B50" s="17" t="s">
        <v>74</v>
      </c>
      <c r="C50" s="15">
        <v>514.40159999999992</v>
      </c>
      <c r="D50" s="15">
        <v>514.40160000000003</v>
      </c>
      <c r="E50" s="15">
        <v>514.40160000000003</v>
      </c>
      <c r="F50" s="35">
        <f t="shared" si="7"/>
        <v>1</v>
      </c>
      <c r="G50" s="15">
        <v>353.22348999999991</v>
      </c>
      <c r="H50" s="35">
        <f t="shared" si="14"/>
        <v>1.4563063175668192</v>
      </c>
      <c r="I50" s="15">
        <f t="shared" si="15"/>
        <v>161.17811000000012</v>
      </c>
      <c r="J50" s="16"/>
      <c r="K50" s="16"/>
      <c r="L50" s="16"/>
      <c r="M50" s="35">
        <v>0</v>
      </c>
      <c r="N50" s="15"/>
      <c r="O50" s="16">
        <f t="shared" si="29"/>
        <v>0</v>
      </c>
      <c r="Q50" s="13">
        <f t="shared" si="11"/>
        <v>0</v>
      </c>
    </row>
    <row r="51" spans="1:17" ht="22.5" customHeight="1" x14ac:dyDescent="0.2">
      <c r="A51" s="14" t="s">
        <v>75</v>
      </c>
      <c r="B51" s="17" t="s">
        <v>76</v>
      </c>
      <c r="C51" s="15">
        <v>1950</v>
      </c>
      <c r="D51" s="15">
        <v>234.535</v>
      </c>
      <c r="E51" s="15">
        <v>45</v>
      </c>
      <c r="F51" s="35">
        <f t="shared" si="7"/>
        <v>0.19186901741744303</v>
      </c>
      <c r="G51" s="15">
        <v>236.73350999999997</v>
      </c>
      <c r="H51" s="35">
        <f t="shared" si="14"/>
        <v>0.19008715749620747</v>
      </c>
      <c r="I51" s="15">
        <f t="shared" si="15"/>
        <v>-191.73350999999997</v>
      </c>
      <c r="J51" s="15">
        <v>50</v>
      </c>
      <c r="K51" s="16">
        <v>50</v>
      </c>
      <c r="L51" s="16"/>
      <c r="M51" s="35">
        <f t="shared" si="10"/>
        <v>0</v>
      </c>
      <c r="N51" s="15">
        <v>265.25200000000001</v>
      </c>
      <c r="O51" s="16">
        <f t="shared" si="29"/>
        <v>-265.25200000000001</v>
      </c>
      <c r="Q51" s="13">
        <f t="shared" si="11"/>
        <v>0</v>
      </c>
    </row>
    <row r="52" spans="1:17" ht="21.75" customHeight="1" x14ac:dyDescent="0.2">
      <c r="A52" s="31" t="s">
        <v>77</v>
      </c>
      <c r="B52" s="32" t="s">
        <v>78</v>
      </c>
      <c r="C52" s="33">
        <f>SUM(C53:C56)</f>
        <v>10826.012999999999</v>
      </c>
      <c r="D52" s="33">
        <f t="shared" ref="D52:O52" si="30">SUM(D53:D56)</f>
        <v>3769.4100000000003</v>
      </c>
      <c r="E52" s="33">
        <f t="shared" si="30"/>
        <v>3280.6335200000003</v>
      </c>
      <c r="F52" s="34">
        <f t="shared" si="7"/>
        <v>0.87033077325098629</v>
      </c>
      <c r="G52" s="33">
        <f t="shared" si="30"/>
        <v>1647.3826400000003</v>
      </c>
      <c r="H52" s="34">
        <f t="shared" si="14"/>
        <v>1.9914216893775205</v>
      </c>
      <c r="I52" s="33">
        <f t="shared" si="15"/>
        <v>1633.2508800000001</v>
      </c>
      <c r="J52" s="33">
        <f t="shared" si="30"/>
        <v>1183.07</v>
      </c>
      <c r="K52" s="33">
        <f t="shared" si="30"/>
        <v>1183.07</v>
      </c>
      <c r="L52" s="33">
        <f t="shared" si="30"/>
        <v>28.37491</v>
      </c>
      <c r="M52" s="34">
        <f t="shared" si="10"/>
        <v>2.3984134497536072E-2</v>
      </c>
      <c r="N52" s="33">
        <f t="shared" si="30"/>
        <v>45.970890000000004</v>
      </c>
      <c r="O52" s="33">
        <f t="shared" si="30"/>
        <v>-17.595980000000004</v>
      </c>
      <c r="Q52" s="13">
        <f t="shared" si="11"/>
        <v>0</v>
      </c>
    </row>
    <row r="53" spans="1:17" ht="33.75" customHeight="1" x14ac:dyDescent="0.2">
      <c r="A53" s="14" t="s">
        <v>79</v>
      </c>
      <c r="B53" s="17" t="s">
        <v>80</v>
      </c>
      <c r="C53" s="15">
        <v>569.20000000000005</v>
      </c>
      <c r="D53" s="15">
        <v>190</v>
      </c>
      <c r="E53" s="15">
        <v>108.6628</v>
      </c>
      <c r="F53" s="35">
        <f t="shared" si="7"/>
        <v>0.57190947368421052</v>
      </c>
      <c r="G53" s="15">
        <v>93.478899999999996</v>
      </c>
      <c r="H53" s="35">
        <f t="shared" si="14"/>
        <v>1.162431308027801</v>
      </c>
      <c r="I53" s="15">
        <f t="shared" si="15"/>
        <v>15.183900000000008</v>
      </c>
      <c r="J53" s="16"/>
      <c r="K53" s="16"/>
      <c r="L53" s="16"/>
      <c r="M53" s="35">
        <v>0</v>
      </c>
      <c r="N53" s="16"/>
      <c r="O53" s="16">
        <f>L53-N53</f>
        <v>0</v>
      </c>
      <c r="Q53" s="13">
        <f t="shared" si="11"/>
        <v>0</v>
      </c>
    </row>
    <row r="54" spans="1:17" ht="34.5" customHeight="1" x14ac:dyDescent="0.2">
      <c r="A54" s="14" t="s">
        <v>81</v>
      </c>
      <c r="B54" s="17" t="s">
        <v>82</v>
      </c>
      <c r="C54" s="15">
        <v>343.35</v>
      </c>
      <c r="D54" s="15">
        <v>100</v>
      </c>
      <c r="E54" s="15">
        <v>1.84</v>
      </c>
      <c r="F54" s="35">
        <f t="shared" si="7"/>
        <v>1.84E-2</v>
      </c>
      <c r="G54" s="15">
        <v>15.48</v>
      </c>
      <c r="H54" s="35">
        <f t="shared" si="14"/>
        <v>0.11886304909560724</v>
      </c>
      <c r="I54" s="15">
        <f t="shared" si="15"/>
        <v>-13.64</v>
      </c>
      <c r="J54" s="16"/>
      <c r="K54" s="16"/>
      <c r="L54" s="16"/>
      <c r="M54" s="35">
        <v>0</v>
      </c>
      <c r="N54" s="16"/>
      <c r="O54" s="16">
        <f>L54-N54</f>
        <v>0</v>
      </c>
      <c r="Q54" s="13">
        <f t="shared" si="11"/>
        <v>0</v>
      </c>
    </row>
    <row r="55" spans="1:17" ht="36.75" customHeight="1" x14ac:dyDescent="0.2">
      <c r="A55" s="14" t="s">
        <v>83</v>
      </c>
      <c r="B55" s="17" t="s">
        <v>84</v>
      </c>
      <c r="C55" s="15">
        <v>9523.4629999999997</v>
      </c>
      <c r="D55" s="15">
        <v>3369.4100000000003</v>
      </c>
      <c r="E55" s="15">
        <v>3089.1307200000001</v>
      </c>
      <c r="F55" s="35">
        <f t="shared" si="7"/>
        <v>0.91681651090250216</v>
      </c>
      <c r="G55" s="15">
        <v>1508.4237400000002</v>
      </c>
      <c r="H55" s="35">
        <f t="shared" si="14"/>
        <v>2.047919717837376</v>
      </c>
      <c r="I55" s="15">
        <f t="shared" si="15"/>
        <v>1580.7069799999999</v>
      </c>
      <c r="J55" s="15">
        <v>1183.07</v>
      </c>
      <c r="K55" s="16">
        <f>483.07+700</f>
        <v>1183.07</v>
      </c>
      <c r="L55" s="15">
        <v>28.37491</v>
      </c>
      <c r="M55" s="35">
        <f t="shared" si="10"/>
        <v>2.3984134497536072E-2</v>
      </c>
      <c r="N55" s="16">
        <v>45.970890000000004</v>
      </c>
      <c r="O55" s="16">
        <f>L55-N55</f>
        <v>-17.595980000000004</v>
      </c>
      <c r="Q55" s="13">
        <f t="shared" si="11"/>
        <v>0</v>
      </c>
    </row>
    <row r="56" spans="1:17" ht="44.25" customHeight="1" x14ac:dyDescent="0.2">
      <c r="A56" s="14" t="s">
        <v>85</v>
      </c>
      <c r="B56" s="17" t="s">
        <v>86</v>
      </c>
      <c r="C56" s="15">
        <v>390</v>
      </c>
      <c r="D56" s="15">
        <v>110</v>
      </c>
      <c r="E56" s="15">
        <v>81</v>
      </c>
      <c r="F56" s="35">
        <f t="shared" si="7"/>
        <v>0.73636363636363633</v>
      </c>
      <c r="G56" s="15">
        <v>30</v>
      </c>
      <c r="H56" s="35">
        <f t="shared" si="14"/>
        <v>2.7</v>
      </c>
      <c r="I56" s="15">
        <f t="shared" si="15"/>
        <v>51</v>
      </c>
      <c r="J56" s="16"/>
      <c r="K56" s="16"/>
      <c r="L56" s="16"/>
      <c r="M56" s="35">
        <v>0</v>
      </c>
      <c r="N56" s="16"/>
      <c r="O56" s="16">
        <f>L56-N56</f>
        <v>0</v>
      </c>
      <c r="Q56" s="13">
        <f t="shared" si="11"/>
        <v>0</v>
      </c>
    </row>
    <row r="57" spans="1:17" ht="23.25" customHeight="1" x14ac:dyDescent="0.2">
      <c r="A57" s="31" t="s">
        <v>87</v>
      </c>
      <c r="B57" s="32" t="s">
        <v>88</v>
      </c>
      <c r="C57" s="33">
        <f>SUM(C58:C62)</f>
        <v>99173.922999999995</v>
      </c>
      <c r="D57" s="33">
        <f t="shared" ref="D57:O57" si="31">SUM(D58:D62)</f>
        <v>24009.99</v>
      </c>
      <c r="E57" s="33">
        <f t="shared" si="31"/>
        <v>21482.213700000004</v>
      </c>
      <c r="F57" s="34">
        <f t="shared" si="7"/>
        <v>0.89471981037892989</v>
      </c>
      <c r="G57" s="33">
        <f t="shared" si="31"/>
        <v>25198.27404</v>
      </c>
      <c r="H57" s="34">
        <f t="shared" si="14"/>
        <v>0.85252718761209267</v>
      </c>
      <c r="I57" s="33">
        <f t="shared" si="15"/>
        <v>-3716.0603399999964</v>
      </c>
      <c r="J57" s="33">
        <f t="shared" si="31"/>
        <v>32069.647000000001</v>
      </c>
      <c r="K57" s="33">
        <f t="shared" si="31"/>
        <v>32069.647000000001</v>
      </c>
      <c r="L57" s="33">
        <f t="shared" si="31"/>
        <v>4981.01062</v>
      </c>
      <c r="M57" s="34">
        <f t="shared" si="10"/>
        <v>0.1553185359352412</v>
      </c>
      <c r="N57" s="33">
        <f t="shared" si="31"/>
        <v>4509.3947699999999</v>
      </c>
      <c r="O57" s="33">
        <f t="shared" si="31"/>
        <v>471.61585000000025</v>
      </c>
      <c r="Q57" s="13">
        <f t="shared" si="11"/>
        <v>0</v>
      </c>
    </row>
    <row r="58" spans="1:17" ht="32.25" customHeight="1" x14ac:dyDescent="0.2">
      <c r="A58" s="14" t="s">
        <v>89</v>
      </c>
      <c r="B58" s="17" t="s">
        <v>90</v>
      </c>
      <c r="C58" s="15">
        <v>6820</v>
      </c>
      <c r="D58" s="15">
        <v>3700</v>
      </c>
      <c r="E58" s="15">
        <v>3700</v>
      </c>
      <c r="F58" s="35">
        <f t="shared" si="7"/>
        <v>1</v>
      </c>
      <c r="G58" s="15">
        <v>10101.450000000001</v>
      </c>
      <c r="H58" s="35">
        <f t="shared" si="14"/>
        <v>0.36628404832969519</v>
      </c>
      <c r="I58" s="15">
        <f t="shared" si="15"/>
        <v>-6401.4500000000007</v>
      </c>
      <c r="J58" s="15">
        <v>8880</v>
      </c>
      <c r="K58" s="16">
        <v>8880</v>
      </c>
      <c r="L58" s="16"/>
      <c r="M58" s="35">
        <f t="shared" si="10"/>
        <v>0</v>
      </c>
      <c r="N58" s="16"/>
      <c r="O58" s="16">
        <f>L58-N58</f>
        <v>0</v>
      </c>
      <c r="Q58" s="13">
        <f t="shared" si="11"/>
        <v>0</v>
      </c>
    </row>
    <row r="59" spans="1:17" s="6" customFormat="1" ht="22.5" customHeight="1" x14ac:dyDescent="0.2">
      <c r="A59" s="14" t="s">
        <v>136</v>
      </c>
      <c r="B59" s="17" t="s">
        <v>137</v>
      </c>
      <c r="C59" s="15"/>
      <c r="D59" s="15"/>
      <c r="E59" s="15"/>
      <c r="F59" s="35"/>
      <c r="G59" s="16"/>
      <c r="H59" s="35"/>
      <c r="I59" s="15"/>
      <c r="J59" s="15">
        <v>137.70000000000002</v>
      </c>
      <c r="K59" s="16">
        <v>137.69999999999999</v>
      </c>
      <c r="L59" s="16"/>
      <c r="M59" s="35">
        <f t="shared" si="10"/>
        <v>0</v>
      </c>
      <c r="N59" s="15">
        <v>49.024000000000001</v>
      </c>
      <c r="O59" s="16">
        <f>L59-N59</f>
        <v>-49.024000000000001</v>
      </c>
      <c r="Q59" s="13">
        <f t="shared" si="11"/>
        <v>0</v>
      </c>
    </row>
    <row r="60" spans="1:17" ht="24.75" customHeight="1" x14ac:dyDescent="0.2">
      <c r="A60" s="14" t="s">
        <v>91</v>
      </c>
      <c r="B60" s="17" t="s">
        <v>92</v>
      </c>
      <c r="C60" s="15">
        <v>87959.023000000001</v>
      </c>
      <c r="D60" s="15">
        <v>19294.121000000003</v>
      </c>
      <c r="E60" s="15">
        <v>16811.493730000002</v>
      </c>
      <c r="F60" s="35">
        <f t="shared" si="7"/>
        <v>0.87132726751324918</v>
      </c>
      <c r="G60" s="15">
        <v>14762.30616</v>
      </c>
      <c r="H60" s="35">
        <f t="shared" si="14"/>
        <v>1.1388121576527446</v>
      </c>
      <c r="I60" s="15">
        <f t="shared" si="15"/>
        <v>2049.1875700000019</v>
      </c>
      <c r="J60" s="15">
        <v>18173.212</v>
      </c>
      <c r="K60" s="16">
        <f>14947.692+3225.52</f>
        <v>18173.212</v>
      </c>
      <c r="L60" s="15">
        <v>1713.2107800000001</v>
      </c>
      <c r="M60" s="35">
        <f t="shared" si="10"/>
        <v>9.4271215237020298E-2</v>
      </c>
      <c r="N60" s="16">
        <v>1727.64077</v>
      </c>
      <c r="O60" s="16">
        <f>L60-N60</f>
        <v>-14.429989999999862</v>
      </c>
      <c r="Q60" s="13">
        <f t="shared" si="11"/>
        <v>0</v>
      </c>
    </row>
    <row r="61" spans="1:17" ht="90" customHeight="1" x14ac:dyDescent="0.2">
      <c r="A61" s="14" t="s">
        <v>93</v>
      </c>
      <c r="B61" s="17" t="s">
        <v>169</v>
      </c>
      <c r="C61" s="15">
        <v>1200</v>
      </c>
      <c r="D61" s="15">
        <v>300</v>
      </c>
      <c r="E61" s="15">
        <v>275.81996999999996</v>
      </c>
      <c r="F61" s="35">
        <f t="shared" si="7"/>
        <v>0.91939989999999983</v>
      </c>
      <c r="G61" s="15">
        <v>257.91648000000004</v>
      </c>
      <c r="H61" s="35">
        <f t="shared" si="14"/>
        <v>1.069415843454439</v>
      </c>
      <c r="I61" s="15">
        <f t="shared" si="15"/>
        <v>17.90348999999992</v>
      </c>
      <c r="J61" s="15"/>
      <c r="K61" s="16"/>
      <c r="L61" s="16"/>
      <c r="M61" s="35">
        <v>0</v>
      </c>
      <c r="N61" s="16"/>
      <c r="O61" s="16">
        <f>L61-N61</f>
        <v>0</v>
      </c>
      <c r="Q61" s="13">
        <f t="shared" si="11"/>
        <v>0</v>
      </c>
    </row>
    <row r="62" spans="1:17" ht="31.5" customHeight="1" x14ac:dyDescent="0.2">
      <c r="A62" s="14" t="s">
        <v>94</v>
      </c>
      <c r="B62" s="17" t="s">
        <v>95</v>
      </c>
      <c r="C62" s="15">
        <v>3194.9</v>
      </c>
      <c r="D62" s="15">
        <v>715.86900000000003</v>
      </c>
      <c r="E62" s="15">
        <v>694.9</v>
      </c>
      <c r="F62" s="35">
        <f t="shared" si="7"/>
        <v>0.97070832792033168</v>
      </c>
      <c r="G62" s="15">
        <v>76.601399999999998</v>
      </c>
      <c r="H62" s="35">
        <f t="shared" si="14"/>
        <v>9.0716357664481322</v>
      </c>
      <c r="I62" s="15">
        <f t="shared" si="15"/>
        <v>618.29859999999996</v>
      </c>
      <c r="J62" s="15">
        <v>4878.7349999999997</v>
      </c>
      <c r="K62" s="16">
        <v>4878.7349999999997</v>
      </c>
      <c r="L62" s="15">
        <v>3267.7998400000001</v>
      </c>
      <c r="M62" s="35">
        <f t="shared" si="10"/>
        <v>0.66980474241786048</v>
      </c>
      <c r="N62" s="15">
        <v>2732.73</v>
      </c>
      <c r="O62" s="16">
        <f>L62-N62</f>
        <v>535.06984000000011</v>
      </c>
      <c r="Q62" s="13">
        <f t="shared" si="11"/>
        <v>0</v>
      </c>
    </row>
    <row r="63" spans="1:17" ht="21.75" customHeight="1" x14ac:dyDescent="0.2">
      <c r="A63" s="31" t="s">
        <v>96</v>
      </c>
      <c r="B63" s="32" t="s">
        <v>97</v>
      </c>
      <c r="C63" s="33">
        <f>SUM(C64:C78)</f>
        <v>27936.612000000001</v>
      </c>
      <c r="D63" s="33">
        <f>SUM(D64:D78)</f>
        <v>3210.3450000000003</v>
      </c>
      <c r="E63" s="33">
        <f>SUM(E64:E78)</f>
        <v>2890.5501899999999</v>
      </c>
      <c r="F63" s="34">
        <f t="shared" si="7"/>
        <v>0.9003861547590678</v>
      </c>
      <c r="G63" s="33">
        <f>SUM(G64:G78)</f>
        <v>1094.91913</v>
      </c>
      <c r="H63" s="34">
        <f t="shared" si="14"/>
        <v>2.6399668348108958</v>
      </c>
      <c r="I63" s="33">
        <f t="shared" si="15"/>
        <v>1795.6310599999999</v>
      </c>
      <c r="J63" s="33">
        <f>SUM(J64:J78)</f>
        <v>152949.70782000001</v>
      </c>
      <c r="K63" s="33">
        <f>SUM(K64:K78)</f>
        <v>152949.70782000001</v>
      </c>
      <c r="L63" s="33">
        <f>SUM(L64:L78)</f>
        <v>14574.81849</v>
      </c>
      <c r="M63" s="34">
        <f t="shared" si="10"/>
        <v>9.52915745818389E-2</v>
      </c>
      <c r="N63" s="33">
        <f>SUM(N64:N78)</f>
        <v>12580.953070000001</v>
      </c>
      <c r="O63" s="33">
        <f>SUM(O64:O78)</f>
        <v>1993.8654199999994</v>
      </c>
      <c r="Q63" s="13">
        <f t="shared" si="11"/>
        <v>0</v>
      </c>
    </row>
    <row r="64" spans="1:17" ht="18" customHeight="1" x14ac:dyDescent="0.2">
      <c r="A64" s="14" t="s">
        <v>98</v>
      </c>
      <c r="B64" s="17" t="s">
        <v>99</v>
      </c>
      <c r="C64" s="15">
        <v>700</v>
      </c>
      <c r="D64" s="15">
        <v>0</v>
      </c>
      <c r="E64" s="15">
        <v>0</v>
      </c>
      <c r="F64" s="35">
        <v>0</v>
      </c>
      <c r="G64" s="15">
        <v>0</v>
      </c>
      <c r="H64" s="35">
        <v>0</v>
      </c>
      <c r="I64" s="15">
        <f t="shared" si="15"/>
        <v>0</v>
      </c>
      <c r="J64" s="15"/>
      <c r="K64" s="16"/>
      <c r="L64" s="16"/>
      <c r="M64" s="35">
        <v>0</v>
      </c>
      <c r="N64" s="16"/>
      <c r="O64" s="16">
        <f>L64-N64</f>
        <v>0</v>
      </c>
      <c r="Q64" s="13">
        <f t="shared" si="11"/>
        <v>0</v>
      </c>
    </row>
    <row r="65" spans="1:17" s="7" customFormat="1" ht="22.5" customHeight="1" x14ac:dyDescent="0.2">
      <c r="A65" s="14" t="s">
        <v>138</v>
      </c>
      <c r="B65" s="17" t="s">
        <v>146</v>
      </c>
      <c r="C65" s="15"/>
      <c r="D65" s="15"/>
      <c r="E65" s="15"/>
      <c r="F65" s="35"/>
      <c r="G65" s="16"/>
      <c r="H65" s="35"/>
      <c r="I65" s="15"/>
      <c r="J65" s="15">
        <v>13932.641</v>
      </c>
      <c r="K65" s="16">
        <f>13165.938+766.703</f>
        <v>13932.641</v>
      </c>
      <c r="L65" s="15">
        <v>4765.5977699999994</v>
      </c>
      <c r="M65" s="35">
        <f t="shared" si="10"/>
        <v>0.34204554398552289</v>
      </c>
      <c r="N65" s="15">
        <v>1171.047</v>
      </c>
      <c r="O65" s="16">
        <f>L65-N65</f>
        <v>3594.5507699999994</v>
      </c>
      <c r="Q65" s="13">
        <f t="shared" si="11"/>
        <v>0</v>
      </c>
    </row>
    <row r="66" spans="1:17" s="7" customFormat="1" ht="21.75" customHeight="1" x14ac:dyDescent="0.2">
      <c r="A66" s="14" t="s">
        <v>139</v>
      </c>
      <c r="B66" s="17" t="s">
        <v>147</v>
      </c>
      <c r="C66" s="15"/>
      <c r="D66" s="15"/>
      <c r="E66" s="15"/>
      <c r="F66" s="35"/>
      <c r="G66" s="16"/>
      <c r="H66" s="35"/>
      <c r="I66" s="15"/>
      <c r="J66" s="15">
        <v>48590.730479999998</v>
      </c>
      <c r="K66" s="16">
        <f>48590.73048</f>
        <v>48590.730479999998</v>
      </c>
      <c r="L66" s="15">
        <v>0</v>
      </c>
      <c r="M66" s="35">
        <f t="shared" si="10"/>
        <v>0</v>
      </c>
      <c r="N66" s="15">
        <v>807.78801999999996</v>
      </c>
      <c r="O66" s="16">
        <f>L66-N66</f>
        <v>-807.78801999999996</v>
      </c>
      <c r="Q66" s="13">
        <f t="shared" si="11"/>
        <v>0</v>
      </c>
    </row>
    <row r="67" spans="1:17" s="7" customFormat="1" ht="18" customHeight="1" x14ac:dyDescent="0.2">
      <c r="A67" s="14" t="s">
        <v>140</v>
      </c>
      <c r="B67" s="17" t="s">
        <v>148</v>
      </c>
      <c r="C67" s="15"/>
      <c r="D67" s="15"/>
      <c r="E67" s="15"/>
      <c r="F67" s="35"/>
      <c r="G67" s="16"/>
      <c r="H67" s="35"/>
      <c r="I67" s="15"/>
      <c r="J67" s="15">
        <v>8634.7939999999999</v>
      </c>
      <c r="K67" s="16">
        <f>8634.794</f>
        <v>8634.7939999999999</v>
      </c>
      <c r="L67" s="15">
        <v>1182.75674</v>
      </c>
      <c r="M67" s="35">
        <f t="shared" si="10"/>
        <v>0.13697567538959241</v>
      </c>
      <c r="N67" s="15">
        <v>5525.48992</v>
      </c>
      <c r="O67" s="16">
        <f>L67-N67</f>
        <v>-4342.7331800000002</v>
      </c>
      <c r="Q67" s="13">
        <f t="shared" si="11"/>
        <v>0</v>
      </c>
    </row>
    <row r="68" spans="1:17" s="7" customFormat="1" ht="23.25" customHeight="1" x14ac:dyDescent="0.2">
      <c r="A68" s="14" t="s">
        <v>141</v>
      </c>
      <c r="B68" s="17" t="s">
        <v>149</v>
      </c>
      <c r="C68" s="15"/>
      <c r="D68" s="15"/>
      <c r="E68" s="15"/>
      <c r="F68" s="35"/>
      <c r="G68" s="16"/>
      <c r="H68" s="35"/>
      <c r="I68" s="15"/>
      <c r="J68" s="15">
        <v>2542</v>
      </c>
      <c r="K68" s="16">
        <f>2542</f>
        <v>2542</v>
      </c>
      <c r="L68" s="15">
        <v>0</v>
      </c>
      <c r="M68" s="35">
        <f t="shared" si="10"/>
        <v>0</v>
      </c>
      <c r="N68" s="15">
        <v>2041.6388999999999</v>
      </c>
      <c r="O68" s="16">
        <f>L68-N68</f>
        <v>-2041.6388999999999</v>
      </c>
      <c r="Q68" s="13">
        <f t="shared" si="11"/>
        <v>0</v>
      </c>
    </row>
    <row r="69" spans="1:17" s="7" customFormat="1" ht="32.25" customHeight="1" x14ac:dyDescent="0.2">
      <c r="A69" s="14" t="s">
        <v>142</v>
      </c>
      <c r="B69" s="17" t="s">
        <v>150</v>
      </c>
      <c r="C69" s="15"/>
      <c r="D69" s="15"/>
      <c r="E69" s="15"/>
      <c r="F69" s="35"/>
      <c r="G69" s="16"/>
      <c r="H69" s="35"/>
      <c r="I69" s="15"/>
      <c r="J69" s="15">
        <v>29925.39734</v>
      </c>
      <c r="K69" s="16">
        <v>29925.39734</v>
      </c>
      <c r="L69" s="15">
        <v>5223.4235699999999</v>
      </c>
      <c r="M69" s="35">
        <f t="shared" si="10"/>
        <v>0.17454817761159927</v>
      </c>
      <c r="N69" s="15">
        <v>1866.0784600000002</v>
      </c>
      <c r="O69" s="16">
        <f>L69-N69</f>
        <v>3357.3451099999997</v>
      </c>
      <c r="Q69" s="13">
        <f t="shared" si="11"/>
        <v>0</v>
      </c>
    </row>
    <row r="70" spans="1:17" s="7" customFormat="1" ht="23.25" customHeight="1" x14ac:dyDescent="0.2">
      <c r="A70" s="14" t="s">
        <v>143</v>
      </c>
      <c r="B70" s="17" t="s">
        <v>151</v>
      </c>
      <c r="C70" s="15"/>
      <c r="D70" s="15"/>
      <c r="E70" s="15"/>
      <c r="F70" s="35"/>
      <c r="G70" s="16"/>
      <c r="H70" s="35"/>
      <c r="I70" s="15"/>
      <c r="J70" s="15">
        <v>26427.694000000003</v>
      </c>
      <c r="K70" s="16">
        <f>3042.45+23385.244</f>
        <v>26427.694</v>
      </c>
      <c r="L70" s="15">
        <v>3332.1404100000004</v>
      </c>
      <c r="M70" s="35">
        <f t="shared" si="10"/>
        <v>0.12608517451428039</v>
      </c>
      <c r="N70" s="15">
        <v>1102.2805800000001</v>
      </c>
      <c r="O70" s="16">
        <f>L70-N70</f>
        <v>2229.8598300000003</v>
      </c>
      <c r="Q70" s="13">
        <f t="shared" si="11"/>
        <v>0</v>
      </c>
    </row>
    <row r="71" spans="1:17" s="7" customFormat="1" ht="27" customHeight="1" x14ac:dyDescent="0.2">
      <c r="A71" s="14" t="s">
        <v>144</v>
      </c>
      <c r="B71" s="17" t="s">
        <v>152</v>
      </c>
      <c r="C71" s="15"/>
      <c r="D71" s="15"/>
      <c r="E71" s="15"/>
      <c r="F71" s="35"/>
      <c r="G71" s="16"/>
      <c r="H71" s="35"/>
      <c r="I71" s="15"/>
      <c r="J71" s="15">
        <v>100</v>
      </c>
      <c r="K71" s="16">
        <v>100</v>
      </c>
      <c r="L71" s="15">
        <v>0</v>
      </c>
      <c r="M71" s="35">
        <f t="shared" si="10"/>
        <v>0</v>
      </c>
      <c r="N71" s="16"/>
      <c r="O71" s="16">
        <f>L71-N71</f>
        <v>0</v>
      </c>
      <c r="Q71" s="13">
        <f t="shared" si="11"/>
        <v>0</v>
      </c>
    </row>
    <row r="72" spans="1:17" s="7" customFormat="1" ht="38.25" customHeight="1" x14ac:dyDescent="0.2">
      <c r="A72" s="14" t="s">
        <v>145</v>
      </c>
      <c r="B72" s="17" t="s">
        <v>153</v>
      </c>
      <c r="C72" s="15"/>
      <c r="D72" s="15"/>
      <c r="E72" s="15"/>
      <c r="F72" s="35"/>
      <c r="G72" s="16"/>
      <c r="H72" s="35"/>
      <c r="I72" s="15"/>
      <c r="J72" s="15">
        <v>1000</v>
      </c>
      <c r="K72" s="16">
        <v>1000</v>
      </c>
      <c r="L72" s="15">
        <v>0</v>
      </c>
      <c r="M72" s="35">
        <f t="shared" si="10"/>
        <v>0</v>
      </c>
      <c r="N72" s="16"/>
      <c r="O72" s="16">
        <f>L72-N72</f>
        <v>0</v>
      </c>
      <c r="Q72" s="13">
        <f t="shared" si="11"/>
        <v>0</v>
      </c>
    </row>
    <row r="73" spans="1:17" ht="40.5" customHeight="1" x14ac:dyDescent="0.2">
      <c r="A73" s="14" t="s">
        <v>100</v>
      </c>
      <c r="B73" s="17" t="s">
        <v>101</v>
      </c>
      <c r="C73" s="15">
        <v>24486.612000000001</v>
      </c>
      <c r="D73" s="15">
        <v>2605.3450000000003</v>
      </c>
      <c r="E73" s="15">
        <v>2605.3150000000001</v>
      </c>
      <c r="F73" s="35">
        <f t="shared" si="7"/>
        <v>0.999988485210212</v>
      </c>
      <c r="G73" s="15">
        <v>793.34100000000001</v>
      </c>
      <c r="H73" s="35">
        <f t="shared" si="14"/>
        <v>3.2839787682724073</v>
      </c>
      <c r="I73" s="15">
        <f t="shared" si="15"/>
        <v>1811.9740000000002</v>
      </c>
      <c r="J73" s="15">
        <v>9080.9510000000009</v>
      </c>
      <c r="K73" s="16">
        <f>9080.951</f>
        <v>9080.9509999999991</v>
      </c>
      <c r="L73" s="16"/>
      <c r="M73" s="35">
        <f t="shared" si="10"/>
        <v>0</v>
      </c>
      <c r="N73" s="15">
        <v>66.630189999999999</v>
      </c>
      <c r="O73" s="16">
        <f>L73-N73</f>
        <v>-66.630189999999999</v>
      </c>
      <c r="Q73" s="13">
        <f t="shared" si="11"/>
        <v>0</v>
      </c>
    </row>
    <row r="74" spans="1:17" s="8" customFormat="1" ht="24" customHeight="1" x14ac:dyDescent="0.2">
      <c r="A74" s="14" t="s">
        <v>154</v>
      </c>
      <c r="B74" s="17" t="s">
        <v>155</v>
      </c>
      <c r="C74" s="15"/>
      <c r="D74" s="15"/>
      <c r="E74" s="15"/>
      <c r="F74" s="35"/>
      <c r="G74" s="15"/>
      <c r="H74" s="35"/>
      <c r="I74" s="15"/>
      <c r="J74" s="15">
        <v>12000</v>
      </c>
      <c r="K74" s="16">
        <v>12000</v>
      </c>
      <c r="L74" s="16"/>
      <c r="M74" s="35">
        <f t="shared" si="10"/>
        <v>0</v>
      </c>
      <c r="N74" s="16"/>
      <c r="O74" s="16">
        <f>L74-N74</f>
        <v>0</v>
      </c>
      <c r="Q74" s="13">
        <f t="shared" si="11"/>
        <v>0</v>
      </c>
    </row>
    <row r="75" spans="1:17" ht="22.5" customHeight="1" x14ac:dyDescent="0.2">
      <c r="A75" s="14" t="s">
        <v>102</v>
      </c>
      <c r="B75" s="17" t="s">
        <v>103</v>
      </c>
      <c r="C75" s="15">
        <v>850</v>
      </c>
      <c r="D75" s="15">
        <v>150</v>
      </c>
      <c r="E75" s="15">
        <v>0</v>
      </c>
      <c r="F75" s="35">
        <f t="shared" si="7"/>
        <v>0</v>
      </c>
      <c r="G75" s="16"/>
      <c r="H75" s="35">
        <v>0</v>
      </c>
      <c r="I75" s="15">
        <f t="shared" si="15"/>
        <v>0</v>
      </c>
      <c r="J75" s="16"/>
      <c r="K75" s="16"/>
      <c r="L75" s="16"/>
      <c r="M75" s="35">
        <v>0</v>
      </c>
      <c r="N75" s="16"/>
      <c r="O75" s="16">
        <f>L75-N75</f>
        <v>0</v>
      </c>
      <c r="Q75" s="13">
        <f t="shared" si="11"/>
        <v>0</v>
      </c>
    </row>
    <row r="76" spans="1:17" s="10" customFormat="1" ht="34.5" customHeight="1" x14ac:dyDescent="0.2">
      <c r="A76" s="14" t="s">
        <v>156</v>
      </c>
      <c r="B76" s="17" t="s">
        <v>157</v>
      </c>
      <c r="C76" s="15"/>
      <c r="D76" s="15"/>
      <c r="E76" s="15"/>
      <c r="F76" s="35"/>
      <c r="G76" s="16"/>
      <c r="H76" s="35"/>
      <c r="I76" s="15"/>
      <c r="J76" s="15">
        <v>300</v>
      </c>
      <c r="K76" s="16">
        <v>300</v>
      </c>
      <c r="L76" s="16"/>
      <c r="M76" s="35">
        <f t="shared" ref="M76:M89" si="32">L76/K76</f>
        <v>0</v>
      </c>
      <c r="N76" s="16"/>
      <c r="O76" s="16">
        <f>L76-N76</f>
        <v>0</v>
      </c>
      <c r="Q76" s="13">
        <f t="shared" si="11"/>
        <v>0</v>
      </c>
    </row>
    <row r="77" spans="1:17" s="9" customFormat="1" ht="73.5" customHeight="1" x14ac:dyDescent="0.2">
      <c r="A77" s="14" t="s">
        <v>158</v>
      </c>
      <c r="B77" s="17" t="s">
        <v>159</v>
      </c>
      <c r="C77" s="15"/>
      <c r="D77" s="15"/>
      <c r="E77" s="15"/>
      <c r="F77" s="35"/>
      <c r="G77" s="16"/>
      <c r="H77" s="35"/>
      <c r="I77" s="15"/>
      <c r="J77" s="15">
        <v>415.5</v>
      </c>
      <c r="K77" s="16">
        <f>240.5+115+60</f>
        <v>415.5</v>
      </c>
      <c r="L77" s="15">
        <v>70.900000000000006</v>
      </c>
      <c r="M77" s="35">
        <f t="shared" si="32"/>
        <v>0.17063778580024069</v>
      </c>
      <c r="N77" s="16"/>
      <c r="O77" s="16">
        <f>L77-N77</f>
        <v>70.900000000000006</v>
      </c>
      <c r="Q77" s="13">
        <f t="shared" ref="Q77:Q89" si="33">J77-K77</f>
        <v>0</v>
      </c>
    </row>
    <row r="78" spans="1:17" ht="24" customHeight="1" x14ac:dyDescent="0.2">
      <c r="A78" s="14" t="s">
        <v>104</v>
      </c>
      <c r="B78" s="17" t="s">
        <v>105</v>
      </c>
      <c r="C78" s="15">
        <v>1900</v>
      </c>
      <c r="D78" s="15">
        <v>455</v>
      </c>
      <c r="E78" s="15">
        <v>285.23518999999999</v>
      </c>
      <c r="F78" s="35">
        <f t="shared" si="7"/>
        <v>0.62689052747252749</v>
      </c>
      <c r="G78" s="15">
        <v>301.57812999999999</v>
      </c>
      <c r="H78" s="35">
        <f t="shared" si="14"/>
        <v>0.94580860356153806</v>
      </c>
      <c r="I78" s="15">
        <f t="shared" si="15"/>
        <v>-16.342939999999999</v>
      </c>
      <c r="J78" s="16"/>
      <c r="K78" s="16"/>
      <c r="L78" s="16"/>
      <c r="M78" s="35">
        <v>0</v>
      </c>
      <c r="N78" s="16"/>
      <c r="O78" s="16">
        <f>L78-N78</f>
        <v>0</v>
      </c>
      <c r="Q78" s="13">
        <f t="shared" si="33"/>
        <v>0</v>
      </c>
    </row>
    <row r="79" spans="1:17" ht="23.25" customHeight="1" x14ac:dyDescent="0.2">
      <c r="A79" s="31" t="s">
        <v>106</v>
      </c>
      <c r="B79" s="32" t="s">
        <v>107</v>
      </c>
      <c r="C79" s="33">
        <f>SUM(C80:C84)</f>
        <v>10665.233</v>
      </c>
      <c r="D79" s="33">
        <f t="shared" ref="D79:O79" si="34">SUM(D80:D84)</f>
        <v>2135.5</v>
      </c>
      <c r="E79" s="33">
        <f t="shared" si="34"/>
        <v>538.21440999999993</v>
      </c>
      <c r="F79" s="34">
        <f t="shared" si="7"/>
        <v>0.25203203465230622</v>
      </c>
      <c r="G79" s="33">
        <f t="shared" si="34"/>
        <v>12.2</v>
      </c>
      <c r="H79" s="34">
        <f t="shared" si="14"/>
        <v>44.115935245901639</v>
      </c>
      <c r="I79" s="33">
        <f t="shared" si="15"/>
        <v>526.01440999999988</v>
      </c>
      <c r="J79" s="33">
        <f t="shared" si="34"/>
        <v>360.6</v>
      </c>
      <c r="K79" s="33">
        <f>SUM(K80:K86)</f>
        <v>360.6</v>
      </c>
      <c r="L79" s="33">
        <f t="shared" si="34"/>
        <v>0</v>
      </c>
      <c r="M79" s="34">
        <f t="shared" si="32"/>
        <v>0</v>
      </c>
      <c r="N79" s="33">
        <f t="shared" si="34"/>
        <v>57.6</v>
      </c>
      <c r="O79" s="33">
        <f t="shared" si="34"/>
        <v>-57.6</v>
      </c>
      <c r="Q79" s="13">
        <f t="shared" si="33"/>
        <v>0</v>
      </c>
    </row>
    <row r="80" spans="1:17" ht="34.5" customHeight="1" x14ac:dyDescent="0.2">
      <c r="A80" s="14" t="s">
        <v>108</v>
      </c>
      <c r="B80" s="17" t="s">
        <v>109</v>
      </c>
      <c r="C80" s="15">
        <v>240</v>
      </c>
      <c r="D80" s="15">
        <v>95.5</v>
      </c>
      <c r="E80" s="15">
        <v>15.5</v>
      </c>
      <c r="F80" s="35">
        <f t="shared" si="7"/>
        <v>0.16230366492146597</v>
      </c>
      <c r="G80" s="15">
        <v>12.2</v>
      </c>
      <c r="H80" s="35">
        <f>E80/G80</f>
        <v>1.2704918032786885</v>
      </c>
      <c r="I80" s="15">
        <f t="shared" si="15"/>
        <v>3.3000000000000007</v>
      </c>
      <c r="J80" s="16"/>
      <c r="K80" s="16"/>
      <c r="L80" s="16"/>
      <c r="M80" s="35">
        <v>0</v>
      </c>
      <c r="N80" s="15">
        <v>57.6</v>
      </c>
      <c r="O80" s="16">
        <f>L80-N80</f>
        <v>-57.6</v>
      </c>
      <c r="Q80" s="13">
        <f t="shared" si="33"/>
        <v>0</v>
      </c>
    </row>
    <row r="81" spans="1:22" s="11" customFormat="1" ht="27.75" customHeight="1" x14ac:dyDescent="0.2">
      <c r="A81" s="14" t="s">
        <v>160</v>
      </c>
      <c r="B81" s="17" t="s">
        <v>161</v>
      </c>
      <c r="C81" s="15"/>
      <c r="D81" s="15"/>
      <c r="E81" s="15"/>
      <c r="F81" s="35"/>
      <c r="G81" s="16"/>
      <c r="H81" s="35"/>
      <c r="I81" s="15"/>
      <c r="J81" s="15">
        <v>200</v>
      </c>
      <c r="K81" s="16">
        <v>200</v>
      </c>
      <c r="L81" s="16"/>
      <c r="M81" s="35">
        <f t="shared" si="32"/>
        <v>0</v>
      </c>
      <c r="N81" s="16"/>
      <c r="O81" s="16">
        <f>L81-N81</f>
        <v>0</v>
      </c>
      <c r="Q81" s="13">
        <f t="shared" si="33"/>
        <v>0</v>
      </c>
    </row>
    <row r="82" spans="1:22" s="11" customFormat="1" ht="23.25" customHeight="1" x14ac:dyDescent="0.2">
      <c r="A82" s="14" t="s">
        <v>162</v>
      </c>
      <c r="B82" s="17" t="s">
        <v>163</v>
      </c>
      <c r="C82" s="15"/>
      <c r="D82" s="15"/>
      <c r="E82" s="15"/>
      <c r="F82" s="35"/>
      <c r="G82" s="16"/>
      <c r="H82" s="35"/>
      <c r="I82" s="15"/>
      <c r="J82" s="15">
        <v>160.6</v>
      </c>
      <c r="K82" s="16">
        <v>160.6</v>
      </c>
      <c r="L82" s="16"/>
      <c r="M82" s="35">
        <f t="shared" si="32"/>
        <v>0</v>
      </c>
      <c r="N82" s="16"/>
      <c r="O82" s="16">
        <f>L82-N82</f>
        <v>0</v>
      </c>
      <c r="Q82" s="13">
        <f t="shared" si="33"/>
        <v>0</v>
      </c>
    </row>
    <row r="83" spans="1:22" ht="21.75" customHeight="1" x14ac:dyDescent="0.2">
      <c r="A83" s="14" t="s">
        <v>110</v>
      </c>
      <c r="B83" s="17" t="s">
        <v>111</v>
      </c>
      <c r="C83" s="15">
        <v>10325.233</v>
      </c>
      <c r="D83" s="15">
        <v>1940</v>
      </c>
      <c r="E83" s="15">
        <v>522.71440999999993</v>
      </c>
      <c r="F83" s="35">
        <f t="shared" si="7"/>
        <v>0.26944041752577313</v>
      </c>
      <c r="G83" s="16">
        <v>0</v>
      </c>
      <c r="H83" s="35">
        <v>0</v>
      </c>
      <c r="I83" s="15">
        <f t="shared" si="15"/>
        <v>522.71440999999993</v>
      </c>
      <c r="J83" s="16"/>
      <c r="K83" s="16"/>
      <c r="L83" s="16"/>
      <c r="M83" s="35">
        <v>0</v>
      </c>
      <c r="N83" s="16"/>
      <c r="O83" s="16">
        <f>L83-N83</f>
        <v>0</v>
      </c>
      <c r="Q83" s="13">
        <f t="shared" si="33"/>
        <v>0</v>
      </c>
    </row>
    <row r="84" spans="1:22" ht="20.25" customHeight="1" x14ac:dyDescent="0.2">
      <c r="A84" s="14" t="s">
        <v>112</v>
      </c>
      <c r="B84" s="17" t="s">
        <v>113</v>
      </c>
      <c r="C84" s="15">
        <v>100</v>
      </c>
      <c r="D84" s="15">
        <v>100</v>
      </c>
      <c r="E84" s="15">
        <v>0</v>
      </c>
      <c r="F84" s="35">
        <f t="shared" si="7"/>
        <v>0</v>
      </c>
      <c r="G84" s="16">
        <v>0</v>
      </c>
      <c r="H84" s="35">
        <v>0</v>
      </c>
      <c r="I84" s="15">
        <f t="shared" si="15"/>
        <v>0</v>
      </c>
      <c r="J84" s="16"/>
      <c r="K84" s="16"/>
      <c r="L84" s="16"/>
      <c r="M84" s="35">
        <v>0</v>
      </c>
      <c r="N84" s="16"/>
      <c r="O84" s="16">
        <f>L84-N84</f>
        <v>0</v>
      </c>
      <c r="Q84" s="13">
        <f t="shared" si="33"/>
        <v>0</v>
      </c>
    </row>
    <row r="85" spans="1:22" s="12" customFormat="1" ht="35.25" customHeight="1" x14ac:dyDescent="0.2">
      <c r="A85" s="14">
        <v>8831</v>
      </c>
      <c r="B85" s="17" t="s">
        <v>170</v>
      </c>
      <c r="C85" s="15"/>
      <c r="D85" s="15"/>
      <c r="E85" s="15"/>
      <c r="F85" s="35"/>
      <c r="G85" s="16"/>
      <c r="H85" s="35"/>
      <c r="I85" s="15"/>
      <c r="J85" s="16">
        <v>73.463999999999999</v>
      </c>
      <c r="K85" s="16">
        <v>73.463999999999999</v>
      </c>
      <c r="L85" s="16"/>
      <c r="M85" s="35">
        <v>0</v>
      </c>
      <c r="N85" s="16"/>
      <c r="O85" s="16">
        <f t="shared" ref="O85:O86" si="35">L85-N85</f>
        <v>0</v>
      </c>
      <c r="Q85" s="13"/>
    </row>
    <row r="86" spans="1:22" s="12" customFormat="1" ht="38.25" customHeight="1" x14ac:dyDescent="0.2">
      <c r="A86" s="14">
        <v>8832</v>
      </c>
      <c r="B86" s="17" t="s">
        <v>171</v>
      </c>
      <c r="C86" s="15"/>
      <c r="D86" s="15"/>
      <c r="E86" s="15"/>
      <c r="F86" s="35"/>
      <c r="G86" s="16"/>
      <c r="H86" s="35"/>
      <c r="I86" s="15"/>
      <c r="J86" s="16">
        <v>-73.463999999999999</v>
      </c>
      <c r="K86" s="16">
        <v>-73.463999999999999</v>
      </c>
      <c r="L86" s="16"/>
      <c r="M86" s="35">
        <v>0</v>
      </c>
      <c r="N86" s="16"/>
      <c r="O86" s="16">
        <f t="shared" si="35"/>
        <v>0</v>
      </c>
      <c r="Q86" s="13">
        <f t="shared" si="33"/>
        <v>0</v>
      </c>
    </row>
    <row r="87" spans="1:22" ht="17.25" customHeight="1" x14ac:dyDescent="0.2">
      <c r="A87" s="31" t="s">
        <v>114</v>
      </c>
      <c r="B87" s="32" t="s">
        <v>115</v>
      </c>
      <c r="C87" s="33">
        <f>SUM(C88)</f>
        <v>28415</v>
      </c>
      <c r="D87" s="33">
        <f t="shared" ref="D87:O87" si="36">SUM(D88)</f>
        <v>7103.7</v>
      </c>
      <c r="E87" s="33">
        <f t="shared" si="36"/>
        <v>7103.7</v>
      </c>
      <c r="F87" s="34">
        <f t="shared" si="7"/>
        <v>1</v>
      </c>
      <c r="G87" s="33">
        <f t="shared" si="36"/>
        <v>10867.5</v>
      </c>
      <c r="H87" s="34">
        <f t="shared" si="14"/>
        <v>0.65366459627329188</v>
      </c>
      <c r="I87" s="33">
        <f t="shared" si="15"/>
        <v>-3763.8</v>
      </c>
      <c r="J87" s="33">
        <f t="shared" si="36"/>
        <v>0</v>
      </c>
      <c r="K87" s="33">
        <f t="shared" si="36"/>
        <v>0</v>
      </c>
      <c r="L87" s="33">
        <f t="shared" si="36"/>
        <v>0</v>
      </c>
      <c r="M87" s="34">
        <v>0</v>
      </c>
      <c r="N87" s="33">
        <f t="shared" si="36"/>
        <v>0</v>
      </c>
      <c r="O87" s="33">
        <f t="shared" si="36"/>
        <v>0</v>
      </c>
      <c r="Q87" s="13">
        <f t="shared" si="33"/>
        <v>0</v>
      </c>
    </row>
    <row r="88" spans="1:22" ht="29.25" customHeight="1" x14ac:dyDescent="0.2">
      <c r="A88" s="14" t="s">
        <v>116</v>
      </c>
      <c r="B88" s="17" t="s">
        <v>117</v>
      </c>
      <c r="C88" s="15">
        <v>28415</v>
      </c>
      <c r="D88" s="15">
        <v>7103.7</v>
      </c>
      <c r="E88" s="15">
        <v>7103.7</v>
      </c>
      <c r="F88" s="35">
        <f t="shared" si="7"/>
        <v>1</v>
      </c>
      <c r="G88" s="15">
        <v>10867.5</v>
      </c>
      <c r="H88" s="35">
        <f t="shared" si="14"/>
        <v>0.65366459627329188</v>
      </c>
      <c r="I88" s="15">
        <f t="shared" si="15"/>
        <v>-3763.8</v>
      </c>
      <c r="J88" s="16"/>
      <c r="K88" s="16"/>
      <c r="L88" s="16"/>
      <c r="M88" s="35">
        <v>0</v>
      </c>
      <c r="N88" s="16"/>
      <c r="O88" s="16">
        <f>L88-N88</f>
        <v>0</v>
      </c>
      <c r="Q88" s="13">
        <f t="shared" si="33"/>
        <v>0</v>
      </c>
    </row>
    <row r="89" spans="1:22" ht="24" customHeight="1" x14ac:dyDescent="0.2">
      <c r="A89" s="31" t="s">
        <v>118</v>
      </c>
      <c r="B89" s="32" t="s">
        <v>119</v>
      </c>
      <c r="C89" s="33">
        <f>C87+C79+C63+C57+C52+C45+C34+C29+C14+C11</f>
        <v>926635.39700999996</v>
      </c>
      <c r="D89" s="33">
        <f>D87+D79+D63+D57+D52+D45+D34+D29+D14+D11</f>
        <v>218631.91099999999</v>
      </c>
      <c r="E89" s="33">
        <f>E87+E79+E63+E57+E52+E45+E34+E29+E14+E11</f>
        <v>195058.04241999998</v>
      </c>
      <c r="F89" s="34">
        <f>E89/D89</f>
        <v>0.89217553616864276</v>
      </c>
      <c r="G89" s="33">
        <f>G87+G79+G63+G57+G52+G45+G34+G29+G14+G11</f>
        <v>202153.88712999999</v>
      </c>
      <c r="H89" s="34">
        <f t="shared" si="14"/>
        <v>0.96489879660124045</v>
      </c>
      <c r="I89" s="33">
        <f t="shared" si="15"/>
        <v>-7095.8447100000049</v>
      </c>
      <c r="J89" s="33">
        <f>J87+J79+J63+J57+J52+J45+J34+J29+J14+J11</f>
        <v>236251.00882000002</v>
      </c>
      <c r="K89" s="33">
        <f>K87+K79+K63+K57+K52+K45+K34+K29+K14+K11</f>
        <v>236916.49732000002</v>
      </c>
      <c r="L89" s="33">
        <f>L87+L79+L63+L57+L52+L45+L34+L29+L14+L11</f>
        <v>25130.578990000002</v>
      </c>
      <c r="M89" s="34">
        <f t="shared" si="32"/>
        <v>0.10607357138180401</v>
      </c>
      <c r="N89" s="33">
        <f>N87+N79+N63+N57+N52+N45+N34+N29+N14+N11</f>
        <v>30157.668769999997</v>
      </c>
      <c r="O89" s="33">
        <f>O87+O79+O63+O57+O52+O45+O34+O29+O14+O11</f>
        <v>-5027.0897800000002</v>
      </c>
      <c r="Q89" s="13">
        <f t="shared" si="33"/>
        <v>-665.48850000000675</v>
      </c>
    </row>
    <row r="90" spans="1:22" x14ac:dyDescent="0.2">
      <c r="A90" s="2"/>
      <c r="B90" s="2"/>
      <c r="C90" s="2"/>
      <c r="D90" s="2"/>
      <c r="E90" s="2"/>
    </row>
    <row r="91" spans="1:22" s="12" customFormat="1" ht="15.75" x14ac:dyDescent="0.25">
      <c r="A91" s="18"/>
      <c r="B91" s="18"/>
      <c r="C91" s="19"/>
      <c r="D91" s="19"/>
      <c r="E91" s="19"/>
      <c r="G91" s="20"/>
      <c r="H91" s="20"/>
      <c r="I91" s="20"/>
    </row>
    <row r="92" spans="1:22" s="12" customFormat="1" ht="18.75" x14ac:dyDescent="0.3">
      <c r="B92" s="21" t="s">
        <v>165</v>
      </c>
      <c r="C92" s="18"/>
      <c r="D92" s="18"/>
      <c r="E92" s="18"/>
      <c r="F92" s="22"/>
      <c r="G92" s="22"/>
      <c r="N92" s="21" t="s">
        <v>166</v>
      </c>
      <c r="O92" s="22"/>
      <c r="P92" s="23"/>
      <c r="Q92" s="23"/>
      <c r="R92" s="23"/>
      <c r="S92" s="23"/>
      <c r="T92" s="23"/>
      <c r="U92" s="23"/>
      <c r="V92" s="23"/>
    </row>
    <row r="93" spans="1:22" s="12" customFormat="1" ht="18.75" x14ac:dyDescent="0.3">
      <c r="B93" s="24"/>
      <c r="C93" s="18"/>
      <c r="D93" s="18"/>
      <c r="E93" s="18"/>
      <c r="G93" s="22"/>
      <c r="H93" s="25"/>
      <c r="I93" s="22"/>
      <c r="N93" s="25"/>
      <c r="O93" s="22"/>
    </row>
    <row r="94" spans="1:22" s="12" customFormat="1" ht="18.75" x14ac:dyDescent="0.3">
      <c r="B94" s="24"/>
      <c r="C94" s="18"/>
      <c r="D94" s="18"/>
      <c r="E94" s="18"/>
      <c r="G94" s="22"/>
      <c r="H94" s="25"/>
      <c r="I94" s="22"/>
      <c r="N94" s="25"/>
      <c r="O94" s="22"/>
    </row>
  </sheetData>
  <mergeCells count="7">
    <mergeCell ref="G1:I3"/>
    <mergeCell ref="M1:O3"/>
    <mergeCell ref="A4:O7"/>
    <mergeCell ref="J9:O9"/>
    <mergeCell ref="A9:A10"/>
    <mergeCell ref="B9:B10"/>
    <mergeCell ref="C9:I9"/>
  </mergeCells>
  <pageMargins left="0.31496062992125984" right="0.31496062992125984" top="0.39370078740157483" bottom="0.39370078740157483" header="0" footer="0"/>
  <pageSetup paperSize="9" scale="5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2021-04-21T08:55:14Z</cp:lastPrinted>
  <dcterms:created xsi:type="dcterms:W3CDTF">2021-04-19T07:27:31Z</dcterms:created>
  <dcterms:modified xsi:type="dcterms:W3CDTF">2021-04-21T08:55:52Z</dcterms:modified>
</cp:coreProperties>
</file>