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-LendelG\Desktop\рішення виконкому 17.08\"/>
    </mc:Choice>
  </mc:AlternateContent>
  <bookViews>
    <workbookView xWindow="-120" yWindow="-120" windowWidth="24240" windowHeight="13140"/>
  </bookViews>
  <sheets>
    <sheet name="Аркуш1" sheetId="1" r:id="rId1"/>
  </sheets>
  <definedNames>
    <definedName name="_xlnm.Print_Titles" localSheetId="0">Аркуш1!$9:$10</definedName>
    <definedName name="_xlnm.Print_Area" localSheetId="0">Аркуш1!$A$1:$O$97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7" i="1" l="1"/>
  <c r="I43" i="1"/>
  <c r="H43" i="1"/>
  <c r="G16" i="1"/>
  <c r="G17" i="1"/>
  <c r="G15" i="1"/>
  <c r="G23" i="1"/>
  <c r="L81" i="1" l="1"/>
  <c r="O75" i="1"/>
  <c r="L72" i="1"/>
  <c r="L67" i="1"/>
  <c r="L62" i="1"/>
  <c r="L50" i="1"/>
  <c r="L49" i="1"/>
  <c r="L48" i="1"/>
  <c r="L47" i="1"/>
  <c r="L20" i="1"/>
  <c r="K67" i="1"/>
  <c r="L12" i="1"/>
  <c r="K81" i="1"/>
  <c r="J81" i="1"/>
  <c r="K76" i="1"/>
  <c r="J76" i="1"/>
  <c r="M75" i="1"/>
  <c r="K72" i="1"/>
  <c r="J72" i="1"/>
  <c r="J67" i="1"/>
  <c r="K62" i="1"/>
  <c r="J62" i="1"/>
  <c r="K49" i="1"/>
  <c r="K48" i="1"/>
  <c r="K12" i="1"/>
  <c r="J34" i="1"/>
  <c r="O89" i="1" l="1"/>
  <c r="O90" i="1"/>
  <c r="H84" i="1"/>
  <c r="O92" i="1" l="1"/>
  <c r="O88" i="1"/>
  <c r="O87" i="1"/>
  <c r="O86" i="1"/>
  <c r="O85" i="1"/>
  <c r="O84" i="1"/>
  <c r="O82" i="1"/>
  <c r="O81" i="1"/>
  <c r="O79" i="1"/>
  <c r="O78" i="1"/>
  <c r="O77" i="1"/>
  <c r="O76" i="1"/>
  <c r="O74" i="1"/>
  <c r="O73" i="1"/>
  <c r="O72" i="1"/>
  <c r="O71" i="1"/>
  <c r="O70" i="1"/>
  <c r="O69" i="1"/>
  <c r="O68" i="1"/>
  <c r="O67" i="1"/>
  <c r="O66" i="1"/>
  <c r="O64" i="1"/>
  <c r="O63" i="1"/>
  <c r="O62" i="1"/>
  <c r="O61" i="1"/>
  <c r="O60" i="1"/>
  <c r="O58" i="1"/>
  <c r="O56" i="1"/>
  <c r="O55" i="1"/>
  <c r="O54" i="1"/>
  <c r="O52" i="1"/>
  <c r="O51" i="1"/>
  <c r="O50" i="1"/>
  <c r="O49" i="1"/>
  <c r="O48" i="1"/>
  <c r="O47" i="1"/>
  <c r="O45" i="1"/>
  <c r="O44" i="1"/>
  <c r="O42" i="1"/>
  <c r="O41" i="1"/>
  <c r="O40" i="1"/>
  <c r="O39" i="1"/>
  <c r="O38" i="1"/>
  <c r="O37" i="1"/>
  <c r="O36" i="1"/>
  <c r="O35" i="1"/>
  <c r="O33" i="1"/>
  <c r="O32" i="1"/>
  <c r="O31" i="1"/>
  <c r="O30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3" i="1"/>
  <c r="O12" i="1"/>
  <c r="M19" i="1" l="1"/>
  <c r="M22" i="1"/>
  <c r="M27" i="1"/>
  <c r="M28" i="1"/>
  <c r="M52" i="1"/>
  <c r="M60" i="1"/>
  <c r="M61" i="1"/>
  <c r="M64" i="1"/>
  <c r="M71" i="1"/>
  <c r="M73" i="1"/>
  <c r="M74" i="1"/>
  <c r="M77" i="1"/>
  <c r="M79" i="1"/>
  <c r="M85" i="1"/>
  <c r="M86" i="1"/>
  <c r="Q12" i="1"/>
  <c r="M67" i="1"/>
  <c r="K83" i="1"/>
  <c r="Q13" i="1"/>
  <c r="Q17" i="1"/>
  <c r="Q19" i="1"/>
  <c r="Q21" i="1"/>
  <c r="Q22" i="1"/>
  <c r="Q23" i="1"/>
  <c r="Q25" i="1"/>
  <c r="Q26" i="1"/>
  <c r="Q27" i="1"/>
  <c r="Q28" i="1"/>
  <c r="Q30" i="1"/>
  <c r="Q31" i="1"/>
  <c r="Q32" i="1"/>
  <c r="Q35" i="1"/>
  <c r="Q36" i="1"/>
  <c r="Q37" i="1"/>
  <c r="Q38" i="1"/>
  <c r="Q39" i="1"/>
  <c r="Q40" i="1"/>
  <c r="Q41" i="1"/>
  <c r="Q42" i="1"/>
  <c r="Q44" i="1"/>
  <c r="Q45" i="1"/>
  <c r="Q51" i="1"/>
  <c r="Q52" i="1"/>
  <c r="Q54" i="1"/>
  <c r="Q55" i="1"/>
  <c r="Q58" i="1"/>
  <c r="Q60" i="1"/>
  <c r="Q61" i="1"/>
  <c r="Q63" i="1"/>
  <c r="Q64" i="1"/>
  <c r="Q66" i="1"/>
  <c r="Q67" i="1"/>
  <c r="Q71" i="1"/>
  <c r="Q73" i="1"/>
  <c r="Q74" i="1"/>
  <c r="Q77" i="1"/>
  <c r="Q78" i="1"/>
  <c r="Q79" i="1"/>
  <c r="Q82" i="1"/>
  <c r="Q84" i="1"/>
  <c r="Q85" i="1"/>
  <c r="Q86" i="1"/>
  <c r="Q87" i="1"/>
  <c r="Q88" i="1"/>
  <c r="Q90" i="1"/>
  <c r="Q92" i="1"/>
  <c r="M68" i="1"/>
  <c r="M72" i="1"/>
  <c r="K70" i="1"/>
  <c r="M70" i="1" s="1"/>
  <c r="Q69" i="1"/>
  <c r="K59" i="1"/>
  <c r="M81" i="1"/>
  <c r="Q76" i="1"/>
  <c r="M48" i="1"/>
  <c r="K53" i="1"/>
  <c r="M18" i="1"/>
  <c r="Q16" i="1"/>
  <c r="Q15" i="1"/>
  <c r="K33" i="1"/>
  <c r="K29" i="1" s="1"/>
  <c r="M49" i="1"/>
  <c r="M24" i="1"/>
  <c r="K50" i="1"/>
  <c r="M50" i="1" s="1"/>
  <c r="K47" i="1"/>
  <c r="K20" i="1"/>
  <c r="M20" i="1" s="1"/>
  <c r="H15" i="1"/>
  <c r="I15" i="1"/>
  <c r="H16" i="1"/>
  <c r="I16" i="1"/>
  <c r="H17" i="1"/>
  <c r="I17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I26" i="1"/>
  <c r="I27" i="1"/>
  <c r="H28" i="1"/>
  <c r="I28" i="1"/>
  <c r="H30" i="1"/>
  <c r="I30" i="1"/>
  <c r="H31" i="1"/>
  <c r="I31" i="1"/>
  <c r="H32" i="1"/>
  <c r="I32" i="1"/>
  <c r="H33" i="1"/>
  <c r="I33" i="1"/>
  <c r="H35" i="1"/>
  <c r="I35" i="1"/>
  <c r="H36" i="1"/>
  <c r="I36" i="1"/>
  <c r="I37" i="1"/>
  <c r="H38" i="1"/>
  <c r="I38" i="1"/>
  <c r="I39" i="1"/>
  <c r="H40" i="1"/>
  <c r="I40" i="1"/>
  <c r="I41" i="1"/>
  <c r="H42" i="1"/>
  <c r="I42" i="1"/>
  <c r="H44" i="1"/>
  <c r="I44" i="1"/>
  <c r="H45" i="1"/>
  <c r="I45" i="1"/>
  <c r="H47" i="1"/>
  <c r="I47" i="1"/>
  <c r="H48" i="1"/>
  <c r="I48" i="1"/>
  <c r="H50" i="1"/>
  <c r="I50" i="1"/>
  <c r="H51" i="1"/>
  <c r="I51" i="1"/>
  <c r="H52" i="1"/>
  <c r="I52" i="1"/>
  <c r="H54" i="1"/>
  <c r="I54" i="1"/>
  <c r="H55" i="1"/>
  <c r="I55" i="1"/>
  <c r="H56" i="1"/>
  <c r="I56" i="1"/>
  <c r="H58" i="1"/>
  <c r="I58" i="1"/>
  <c r="H60" i="1"/>
  <c r="I60" i="1"/>
  <c r="H62" i="1"/>
  <c r="I62" i="1"/>
  <c r="H63" i="1"/>
  <c r="I63" i="1"/>
  <c r="H64" i="1"/>
  <c r="I64" i="1"/>
  <c r="I66" i="1"/>
  <c r="H76" i="1"/>
  <c r="I76" i="1"/>
  <c r="I78" i="1"/>
  <c r="H82" i="1"/>
  <c r="I82" i="1"/>
  <c r="I84" i="1"/>
  <c r="I87" i="1"/>
  <c r="I88" i="1"/>
  <c r="H92" i="1"/>
  <c r="I92" i="1"/>
  <c r="H12" i="1"/>
  <c r="I12" i="1"/>
  <c r="H13" i="1"/>
  <c r="I13" i="1"/>
  <c r="F12" i="1"/>
  <c r="F13" i="1"/>
  <c r="F15" i="1"/>
  <c r="F16" i="1"/>
  <c r="F17" i="1"/>
  <c r="F19" i="1"/>
  <c r="F20" i="1"/>
  <c r="F22" i="1"/>
  <c r="F23" i="1"/>
  <c r="F24" i="1"/>
  <c r="F25" i="1"/>
  <c r="F27" i="1"/>
  <c r="F28" i="1"/>
  <c r="F30" i="1"/>
  <c r="F31" i="1"/>
  <c r="F32" i="1"/>
  <c r="F33" i="1"/>
  <c r="F35" i="1"/>
  <c r="F36" i="1"/>
  <c r="F37" i="1"/>
  <c r="F38" i="1"/>
  <c r="F39" i="1"/>
  <c r="F40" i="1"/>
  <c r="F42" i="1"/>
  <c r="F44" i="1"/>
  <c r="F45" i="1"/>
  <c r="F47" i="1"/>
  <c r="F48" i="1"/>
  <c r="F50" i="1"/>
  <c r="F51" i="1"/>
  <c r="F52" i="1"/>
  <c r="F54" i="1"/>
  <c r="F55" i="1"/>
  <c r="F56" i="1"/>
  <c r="F58" i="1"/>
  <c r="F60" i="1"/>
  <c r="F62" i="1"/>
  <c r="F63" i="1"/>
  <c r="F64" i="1"/>
  <c r="F76" i="1"/>
  <c r="F78" i="1"/>
  <c r="F82" i="1"/>
  <c r="F84" i="1"/>
  <c r="F87" i="1"/>
  <c r="F88" i="1"/>
  <c r="F92" i="1"/>
  <c r="D91" i="1"/>
  <c r="E91" i="1"/>
  <c r="G91" i="1"/>
  <c r="J91" i="1"/>
  <c r="K91" i="1"/>
  <c r="L91" i="1"/>
  <c r="N91" i="1"/>
  <c r="O91" i="1"/>
  <c r="C91" i="1"/>
  <c r="D83" i="1"/>
  <c r="E83" i="1"/>
  <c r="G83" i="1"/>
  <c r="J83" i="1"/>
  <c r="L83" i="1"/>
  <c r="M83" i="1" s="1"/>
  <c r="N83" i="1"/>
  <c r="O83" i="1"/>
  <c r="C83" i="1"/>
  <c r="D65" i="1"/>
  <c r="E65" i="1"/>
  <c r="G65" i="1"/>
  <c r="J65" i="1"/>
  <c r="L65" i="1"/>
  <c r="N65" i="1"/>
  <c r="O65" i="1"/>
  <c r="C65" i="1"/>
  <c r="D59" i="1"/>
  <c r="E59" i="1"/>
  <c r="G59" i="1"/>
  <c r="J59" i="1"/>
  <c r="Q59" i="1" s="1"/>
  <c r="L59" i="1"/>
  <c r="N59" i="1"/>
  <c r="O59" i="1"/>
  <c r="C59" i="1"/>
  <c r="D53" i="1"/>
  <c r="E53" i="1"/>
  <c r="G53" i="1"/>
  <c r="J53" i="1"/>
  <c r="Q53" i="1" s="1"/>
  <c r="L53" i="1"/>
  <c r="N53" i="1"/>
  <c r="O53" i="1"/>
  <c r="C53" i="1"/>
  <c r="C46" i="1"/>
  <c r="D46" i="1"/>
  <c r="E46" i="1"/>
  <c r="G46" i="1"/>
  <c r="J46" i="1"/>
  <c r="L46" i="1"/>
  <c r="N46" i="1"/>
  <c r="O46" i="1"/>
  <c r="N34" i="1"/>
  <c r="O34" i="1"/>
  <c r="D34" i="1"/>
  <c r="E34" i="1"/>
  <c r="G34" i="1"/>
  <c r="K34" i="1"/>
  <c r="L34" i="1"/>
  <c r="C34" i="1"/>
  <c r="D29" i="1"/>
  <c r="E29" i="1"/>
  <c r="G29" i="1"/>
  <c r="J29" i="1"/>
  <c r="Q29" i="1" s="1"/>
  <c r="L29" i="1"/>
  <c r="M29" i="1" s="1"/>
  <c r="N29" i="1"/>
  <c r="O29" i="1"/>
  <c r="C29" i="1"/>
  <c r="G11" i="1"/>
  <c r="J11" i="1"/>
  <c r="L11" i="1"/>
  <c r="N11" i="1"/>
  <c r="O11" i="1"/>
  <c r="G14" i="1"/>
  <c r="J14" i="1"/>
  <c r="N14" i="1"/>
  <c r="D14" i="1"/>
  <c r="E14" i="1"/>
  <c r="C14" i="1"/>
  <c r="D11" i="1"/>
  <c r="E11" i="1"/>
  <c r="H11" i="1" s="1"/>
  <c r="C11" i="1"/>
  <c r="M47" i="1" l="1"/>
  <c r="K46" i="1"/>
  <c r="G94" i="1"/>
  <c r="M59" i="1"/>
  <c r="M53" i="1"/>
  <c r="J94" i="1"/>
  <c r="D94" i="1"/>
  <c r="C94" i="1"/>
  <c r="E94" i="1"/>
  <c r="Q91" i="1"/>
  <c r="Q34" i="1"/>
  <c r="Q83" i="1"/>
  <c r="Q72" i="1"/>
  <c r="Q70" i="1"/>
  <c r="Q68" i="1"/>
  <c r="Q56" i="1"/>
  <c r="Q50" i="1"/>
  <c r="Q48" i="1"/>
  <c r="Q33" i="1"/>
  <c r="M76" i="1"/>
  <c r="M69" i="1"/>
  <c r="M16" i="1"/>
  <c r="L14" i="1"/>
  <c r="L94" i="1" s="1"/>
  <c r="O15" i="1"/>
  <c r="O14" i="1" s="1"/>
  <c r="Q81" i="1"/>
  <c r="Q62" i="1"/>
  <c r="Q49" i="1"/>
  <c r="Q47" i="1"/>
  <c r="Q24" i="1"/>
  <c r="Q20" i="1"/>
  <c r="Q18" i="1"/>
  <c r="M62" i="1"/>
  <c r="M56" i="1"/>
  <c r="M33" i="1"/>
  <c r="M15" i="1"/>
  <c r="M12" i="1"/>
  <c r="H14" i="1"/>
  <c r="K11" i="1"/>
  <c r="I91" i="1"/>
  <c r="K65" i="1"/>
  <c r="Q65" i="1" s="1"/>
  <c r="K14" i="1"/>
  <c r="Q14" i="1" s="1"/>
  <c r="Q46" i="1"/>
  <c r="H29" i="1"/>
  <c r="H53" i="1"/>
  <c r="H59" i="1"/>
  <c r="H65" i="1"/>
  <c r="H83" i="1"/>
  <c r="N94" i="1"/>
  <c r="H34" i="1"/>
  <c r="H46" i="1"/>
  <c r="F53" i="1"/>
  <c r="I59" i="1"/>
  <c r="I65" i="1"/>
  <c r="F65" i="1"/>
  <c r="I83" i="1"/>
  <c r="O94" i="1"/>
  <c r="H91" i="1"/>
  <c r="F29" i="1"/>
  <c r="I53" i="1"/>
  <c r="I46" i="1"/>
  <c r="I34" i="1"/>
  <c r="I29" i="1"/>
  <c r="I14" i="1"/>
  <c r="I11" i="1"/>
  <c r="F46" i="1"/>
  <c r="F11" i="1"/>
  <c r="F91" i="1"/>
  <c r="F83" i="1"/>
  <c r="F59" i="1"/>
  <c r="F34" i="1"/>
  <c r="F14" i="1"/>
  <c r="K94" i="1" l="1"/>
  <c r="M11" i="1"/>
  <c r="Q94" i="1"/>
  <c r="M14" i="1"/>
  <c r="M65" i="1"/>
  <c r="M46" i="1"/>
  <c r="H94" i="1"/>
  <c r="I94" i="1"/>
  <c r="F94" i="1"/>
  <c r="M94" i="1" l="1"/>
</calcChain>
</file>

<file path=xl/sharedStrings.xml><?xml version="1.0" encoding="utf-8"?>
<sst xmlns="http://schemas.openxmlformats.org/spreadsheetml/2006/main" count="183" uniqueCount="180">
  <si>
    <t>Загальний фонд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</si>
  <si>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</si>
  <si>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</si>
  <si>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</si>
  <si>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</si>
  <si>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</si>
  <si>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</si>
  <si>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</si>
  <si>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</si>
  <si>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</si>
  <si>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</si>
  <si>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</si>
  <si>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</si>
  <si>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</si>
  <si>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</si>
  <si>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</si>
  <si>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</si>
  <si>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1130</t>
  </si>
  <si>
    <t>Методичне забезпечення діяльності закладів освіти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</si>
  <si>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</si>
  <si>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</si>
  <si>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</si>
  <si>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</si>
  <si>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</si>
  <si>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</si>
  <si>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</si>
  <si>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</si>
  <si>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</si>
  <si>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</si>
  <si>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1160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</si>
  <si>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</si>
  <si>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</si>
  <si>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</si>
  <si>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</si>
  <si>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</si>
  <si>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</si>
  <si>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</si>
  <si>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</si>
  <si>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</si>
  <si>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</si>
  <si>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</si>
  <si>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</si>
  <si>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</si>
  <si>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</si>
  <si>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</si>
  <si>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</si>
  <si>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</si>
  <si>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</si>
  <si>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</si>
  <si>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</si>
  <si>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</si>
  <si>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</si>
  <si>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</si>
  <si>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</si>
  <si>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</si>
  <si>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</si>
  <si>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</si>
  <si>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</si>
  <si>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</si>
  <si>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</si>
  <si>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</si>
  <si>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</si>
  <si>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</si>
  <si>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</si>
  <si>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</si>
  <si>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</si>
  <si>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</si>
  <si>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4010</t>
  </si>
  <si>
    <t>Фінансова підтримка театрів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</si>
  <si>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</si>
  <si>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</si>
  <si>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</si>
  <si>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</si>
  <si>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</si>
  <si>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</si>
  <si>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</si>
  <si>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</si>
  <si>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</si>
  <si>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</si>
  <si>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</si>
  <si>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</si>
  <si>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</si>
  <si>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</si>
  <si>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</si>
  <si>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</si>
  <si>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</si>
  <si>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</si>
  <si>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</si>
  <si>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</si>
  <si>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</si>
  <si>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</si>
  <si>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</si>
  <si>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</si>
  <si>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6071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</si>
  <si>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</si>
  <si>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</si>
  <si>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</si>
  <si>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</si>
  <si>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</si>
  <si>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</si>
  <si>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</si>
  <si>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</si>
  <si>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7622</t>
  </si>
  <si>
    <t>Реалізація програм і заходів в галузі туризму та курортів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</si>
  <si>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</si>
  <si>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</si>
  <si>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</si>
  <si>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</si>
  <si>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</si>
  <si>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</si>
  <si>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8600</t>
  </si>
  <si>
    <t>Обслуговування місцевого боргу</t>
  </si>
  <si>
    <t>8710</t>
  </si>
  <si>
    <t>Резервний фонд місцевого бюджету</t>
  </si>
  <si>
    <t>9000</t>
  </si>
  <si>
    <t>Міжбюджетні трансферти</t>
  </si>
  <si>
    <t>9110</t>
  </si>
  <si>
    <t>Реверсна дотація</t>
  </si>
  <si>
    <t xml:space="preserve"> </t>
  </si>
  <si>
    <t xml:space="preserve">Усього </t>
  </si>
  <si>
    <t>0100</t>
  </si>
  <si>
    <t>Державне управління</t>
  </si>
  <si>
    <t>Код ТПКВКМБ / 
ТКВКБМС</t>
  </si>
  <si>
    <t>Назва коду ТПКВКМБ/ТКВКБМС</t>
  </si>
  <si>
    <t>Спеціальний фонд</t>
  </si>
  <si>
    <t>Затверджено бюджетом на 2021 рік з урахуванням змін</t>
  </si>
  <si>
    <t>Відхилення +/- (2021 до 2020 р.)</t>
  </si>
  <si>
    <t>Затверджено розписом на 2021 рік з урахуванням змін</t>
  </si>
  <si>
    <t>кошторисні призначення за 2021 рік з урахуванням змін</t>
  </si>
  <si>
    <t>4040</t>
  </si>
  <si>
    <t>Забезпечення діяльності музеїв i виставок</t>
  </si>
  <si>
    <t>6015</t>
  </si>
  <si>
    <t>Забезпечення надійної та безперебійної експлуатації ліфтів</t>
  </si>
  <si>
    <t>7310</t>
  </si>
  <si>
    <t>7321</t>
  </si>
  <si>
    <t>7322</t>
  </si>
  <si>
    <t>7324</t>
  </si>
  <si>
    <t>7325</t>
  </si>
  <si>
    <t>7330</t>
  </si>
  <si>
    <t>7340</t>
  </si>
  <si>
    <t>7350</t>
  </si>
  <si>
    <t>Будівництво-1 об`єктів житлово-комунального господарства</t>
  </si>
  <si>
    <t>Будівництво-1 освітніх установ та закладів</t>
  </si>
  <si>
    <t>Будівництво-1 медичних установ та закладів</t>
  </si>
  <si>
    <t>Будівництво-1 установ та закладів культури</t>
  </si>
  <si>
    <t>Будівництво-1 споруд, установ та закладів фізичної культури і спорту</t>
  </si>
  <si>
    <t>Будівництво-1 інших об`єктів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</si>
  <si>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</si>
  <si>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</si>
  <si>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7640</t>
  </si>
  <si>
    <t>Заходи з енергозбереження</t>
  </si>
  <si>
    <t>7650</t>
  </si>
  <si>
    <t>Проведення експертної грошової оцінки земельної ділянки чи права на неї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</si>
  <si>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</si>
  <si>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</si>
  <si>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8311</t>
  </si>
  <si>
    <t>Охорона та раціональне використання природних ресурсів</t>
  </si>
  <si>
    <t>8340</t>
  </si>
  <si>
    <t>Природоохоронні заходи за рахунок цільових фондів</t>
  </si>
  <si>
    <t>Керуючий справами виконавчого комітету</t>
  </si>
  <si>
    <t>тис. грн.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</si>
  <si>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</si>
  <si>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</si>
  <si>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</si>
  <si>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Дані про виконання видаткової частини бюджету Мукачівської міської територіальної громади  за січень-червень 2021 року</t>
  </si>
  <si>
    <t>Затверджено розписом на січень - червень 2021 року з урахуванням змін</t>
  </si>
  <si>
    <t>Членські внески до асоціацій органів місцевого самоврядування</t>
  </si>
  <si>
    <t>Субвенція з місцевого бюджету державному бюджету на виконання програм соціально-економічного розвитку регіонів</t>
  </si>
  <si>
    <t>Виконано за  січень-червень2021 року</t>
  </si>
  <si>
    <t xml:space="preserve"> % виконання за січень-червень  2021 року</t>
  </si>
  <si>
    <t>Розвиток мережі центрів надання адміністративних послуг</t>
  </si>
  <si>
    <t>виконано за 
січень - червень
   2021 рік</t>
  </si>
  <si>
    <t>Виконано за  січень-червень 2020 року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</si>
  <si>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</si>
  <si>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виконано за січень - червень
   2020 рік</t>
  </si>
  <si>
    <t>%, виконання 
січень-червень 
2021 року 
до кошторисних призначень</t>
  </si>
  <si>
    <t xml:space="preserve"> % виконання до січень-червень 2020 року</t>
  </si>
  <si>
    <t>Будівництво мультифункціональних майданчиків для занять ігровими видами спорту</t>
  </si>
  <si>
    <t>О. ЛЕНДЄЛ</t>
  </si>
  <si>
    <t>Додаток 2
до рішення виконавчого комітету
17.08.2021  № 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</si>
</sst>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00"/>
  </numFmts>
  <fonts count="14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6" fontId="0" fillId="0" borderId="0" xfId="0" applyNumberFormat="1"/>
    <xf numFmtId="0" fontId="5" fillId="0" borderId="1" xfId="0" quotePrefix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8" fillId="0" borderId="0" xfId="0" applyFont="1"/>
    <xf numFmtId="164" fontId="4" fillId="0" borderId="0" xfId="2" applyNumberFormat="1" applyFont="1"/>
    <xf numFmtId="0" fontId="5" fillId="0" borderId="0" xfId="0" applyFont="1"/>
    <xf numFmtId="0" fontId="9" fillId="3" borderId="0" xfId="3" applyFont="1" applyFill="1"/>
    <xf numFmtId="164" fontId="10" fillId="0" borderId="0" xfId="2" applyNumberFormat="1" applyFont="1"/>
    <xf numFmtId="0" fontId="10" fillId="0" borderId="0" xfId="2" applyFont="1"/>
    <xf numFmtId="0" fontId="4" fillId="0" borderId="0" xfId="2" applyFont="1"/>
    <xf numFmtId="164" fontId="4" fillId="0" borderId="0" xfId="2" applyNumberFormat="1" applyFont="1" applyAlignment="1">
      <alignment horizontal="right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5" fillId="0" borderId="2" xfId="0" applyFont="1" applyBorder="1"/>
    <xf numFmtId="0" fontId="6" fillId="4" borderId="1" xfId="0" quotePrefix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5" fontId="5" fillId="4" borderId="1" xfId="1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0" fontId="0" fillId="5" borderId="0" xfId="0" applyFill="1"/>
    <xf numFmtId="164" fontId="10" fillId="5" borderId="0" xfId="2" applyNumberFormat="1" applyFont="1" applyFill="1"/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164" fontId="10" fillId="0" borderId="0" xfId="2" applyNumberFormat="1" applyFont="1" applyFill="1"/>
    <xf numFmtId="164" fontId="12" fillId="2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4">
    <cellStyle name="Звичайний 2" xfId="2"/>
    <cellStyle name="Обычный" xfId="0" builtinId="0"/>
    <cellStyle name="Обычный_ZV1PIV98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9"/>
  <sheetViews>
    <sheetView tabSelected="1" view="pageBreakPreview" zoomScale="70" zoomScaleNormal="85" zoomScaleSheetLayoutView="70" workbookViewId="0">
      <pane xSplit="2" ySplit="11" topLeftCell="C93" activePane="bottomRight" state="frozen"/>
      <selection pane="topRight" activeCell="C1" sqref="C1"/>
      <selection pane="bottomLeft" activeCell="A11" sqref="A11"/>
      <selection pane="bottomRight" activeCell="M1" sqref="M1:O3"/>
    </sheetView>
  </sheetViews>
  <sheetFormatPr defaultRowHeight="12.75" x14ac:dyDescent="0.2"/>
  <cols>
    <col min="1" max="1" width="10.7109375" customWidth="1"/>
    <col min="2" max="2" width="50.7109375" customWidth="1"/>
    <col min="3" max="3" width="20" customWidth="1"/>
    <col min="4" max="4" width="21.7109375" customWidth="1"/>
    <col min="5" max="5" width="18" customWidth="1"/>
    <col min="6" max="6" width="17.28515625" customWidth="1"/>
    <col min="7" max="7" width="17.42578125" style="38" customWidth="1"/>
    <col min="8" max="8" width="16.5703125" customWidth="1"/>
    <col min="9" max="9" width="18.7109375" customWidth="1"/>
    <col min="10" max="11" width="18" customWidth="1"/>
    <col min="12" max="12" width="16.85546875" customWidth="1"/>
    <col min="13" max="13" width="20.7109375" customWidth="1"/>
    <col min="14" max="14" width="13" customWidth="1"/>
    <col min="15" max="15" width="15.85546875" customWidth="1"/>
  </cols>
  <sheetData>
    <row r="1" spans="1:22" s="12" customFormat="1" ht="12.75" customHeight="1" x14ac:dyDescent="0.2">
      <c r="A1" s="20"/>
      <c r="B1" s="20"/>
      <c r="C1" s="20"/>
      <c r="D1" s="20"/>
      <c r="G1" s="51"/>
      <c r="H1" s="51"/>
      <c r="I1" s="51"/>
      <c r="J1" s="26"/>
      <c r="M1" s="51" t="s">
        <v>179</v>
      </c>
      <c r="N1" s="51"/>
      <c r="O1" s="51"/>
    </row>
    <row r="2" spans="1:22" s="12" customFormat="1" x14ac:dyDescent="0.2">
      <c r="A2" s="20"/>
      <c r="B2" s="20"/>
      <c r="C2" s="20"/>
      <c r="D2" s="20"/>
      <c r="G2" s="51"/>
      <c r="H2" s="51"/>
      <c r="I2" s="51"/>
      <c r="J2" s="26"/>
      <c r="M2" s="51"/>
      <c r="N2" s="51"/>
      <c r="O2" s="51"/>
    </row>
    <row r="3" spans="1:22" s="12" customFormat="1" x14ac:dyDescent="0.2">
      <c r="A3" s="20"/>
      <c r="B3" s="20"/>
      <c r="C3" s="20"/>
      <c r="D3" s="20"/>
      <c r="G3" s="51"/>
      <c r="H3" s="51"/>
      <c r="I3" s="51"/>
      <c r="J3" s="26"/>
      <c r="M3" s="51"/>
      <c r="N3" s="51"/>
      <c r="O3" s="51"/>
    </row>
    <row r="4" spans="1:22" s="12" customFormat="1" ht="12.75" customHeight="1" x14ac:dyDescent="0.2">
      <c r="A4" s="52" t="s">
        <v>164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22" s="12" customFormat="1" ht="12.75" customHeight="1" x14ac:dyDescent="0.2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22" s="12" customFormat="1" ht="18.75" customHeight="1" x14ac:dyDescent="0.2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22" s="12" customFormat="1" ht="12.75" customHeight="1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22" s="12" customFormat="1" ht="14.25" customHeight="1" x14ac:dyDescent="0.2">
      <c r="A8" s="28"/>
      <c r="B8" s="28"/>
      <c r="C8" s="20"/>
      <c r="D8" s="20"/>
      <c r="E8" s="20"/>
      <c r="F8" s="27"/>
      <c r="G8" s="41"/>
      <c r="I8" s="27"/>
      <c r="O8" s="27" t="s">
        <v>160</v>
      </c>
    </row>
    <row r="9" spans="1:22" s="12" customFormat="1" ht="14.25" customHeight="1" x14ac:dyDescent="0.2">
      <c r="A9" s="54" t="s">
        <v>122</v>
      </c>
      <c r="B9" s="54" t="s">
        <v>123</v>
      </c>
      <c r="C9" s="53" t="s">
        <v>0</v>
      </c>
      <c r="D9" s="53"/>
      <c r="E9" s="53"/>
      <c r="F9" s="53"/>
      <c r="G9" s="53"/>
      <c r="H9" s="53"/>
      <c r="I9" s="53"/>
      <c r="J9" s="53" t="s">
        <v>124</v>
      </c>
      <c r="K9" s="53"/>
      <c r="L9" s="53"/>
      <c r="M9" s="53"/>
      <c r="N9" s="53"/>
      <c r="O9" s="53"/>
    </row>
    <row r="10" spans="1:22" s="1" customFormat="1" ht="91.5" customHeight="1" x14ac:dyDescent="0.2">
      <c r="A10" s="54"/>
      <c r="B10" s="54"/>
      <c r="C10" s="4" t="s">
        <v>125</v>
      </c>
      <c r="D10" s="4" t="s">
        <v>165</v>
      </c>
      <c r="E10" s="4" t="s">
        <v>168</v>
      </c>
      <c r="F10" s="4" t="s">
        <v>169</v>
      </c>
      <c r="G10" s="42" t="s">
        <v>172</v>
      </c>
      <c r="H10" s="34" t="s">
        <v>176</v>
      </c>
      <c r="I10" s="34" t="s">
        <v>126</v>
      </c>
      <c r="J10" s="4" t="s">
        <v>127</v>
      </c>
      <c r="K10" s="4" t="s">
        <v>128</v>
      </c>
      <c r="L10" s="4" t="s">
        <v>171</v>
      </c>
      <c r="M10" s="4" t="s">
        <v>175</v>
      </c>
      <c r="N10" s="4" t="s">
        <v>174</v>
      </c>
      <c r="O10" s="34" t="s">
        <v>126</v>
      </c>
      <c r="P10" s="3"/>
      <c r="Q10" s="3"/>
      <c r="R10" s="3"/>
      <c r="S10" s="3"/>
      <c r="T10" s="3"/>
      <c r="U10" s="3"/>
      <c r="V10" s="3"/>
    </row>
    <row r="11" spans="1:22" s="1" customFormat="1" ht="24" customHeight="1" x14ac:dyDescent="0.2">
      <c r="A11" s="29" t="s">
        <v>120</v>
      </c>
      <c r="B11" s="30" t="s">
        <v>121</v>
      </c>
      <c r="C11" s="31">
        <f>SUM(C12:C13)</f>
        <v>98862.399999999994</v>
      </c>
      <c r="D11" s="31">
        <f>SUM(D12:D13)</f>
        <v>51370.1</v>
      </c>
      <c r="E11" s="31">
        <f>SUM(E12:E13)</f>
        <v>47861.1</v>
      </c>
      <c r="F11" s="32">
        <f>E11/D11</f>
        <v>0.9316917817952467</v>
      </c>
      <c r="G11" s="31">
        <f>SUM(G12:G13)</f>
        <v>35874.881659999999</v>
      </c>
      <c r="H11" s="32">
        <f>E11/G11</f>
        <v>1.33411171787542</v>
      </c>
      <c r="I11" s="31">
        <f>E11-G11</f>
        <v>11986.218339999999</v>
      </c>
      <c r="J11" s="31">
        <f>SUM(J12:J13)</f>
        <v>3724.87</v>
      </c>
      <c r="K11" s="31">
        <f>SUM(K12:K13)</f>
        <v>3820.87</v>
      </c>
      <c r="L11" s="31">
        <f>SUM(L12:L13)</f>
        <v>1924.9352199999998</v>
      </c>
      <c r="M11" s="32">
        <f>L11/K11</f>
        <v>0.50379500480257111</v>
      </c>
      <c r="N11" s="31">
        <f>SUM(N12:N13)</f>
        <v>3331.6343200000001</v>
      </c>
      <c r="O11" s="31">
        <f>SUM(O12:O13)</f>
        <v>-1406.6991000000003</v>
      </c>
    </row>
    <row r="12" spans="1:22" ht="34.5" customHeight="1" x14ac:dyDescent="0.2">
      <c r="A12" s="14" t="s">
        <v>1</v>
      </c>
      <c r="B12" s="17" t="s">
        <v>2</v>
      </c>
      <c r="C12" s="15">
        <v>96622.399999999994</v>
      </c>
      <c r="D12" s="15">
        <v>50369.1</v>
      </c>
      <c r="E12" s="15">
        <v>47205.4</v>
      </c>
      <c r="F12" s="33">
        <f t="shared" ref="F12:F92" si="0">E12/D12</f>
        <v>0.93718966588642649</v>
      </c>
      <c r="G12" s="43">
        <v>35425.038659999998</v>
      </c>
      <c r="H12" s="33">
        <f>E12/G12</f>
        <v>1.3325433587543756</v>
      </c>
      <c r="I12" s="15">
        <f>E12-G12</f>
        <v>11780.361340000003</v>
      </c>
      <c r="J12" s="15">
        <v>3724.87</v>
      </c>
      <c r="K12" s="16">
        <f>1829.5+875.14+1116.23</f>
        <v>3820.87</v>
      </c>
      <c r="L12" s="15">
        <f>820.57663+222.03696+882.32163</f>
        <v>1924.9352199999998</v>
      </c>
      <c r="M12" s="33">
        <f t="shared" ref="M12:M77" si="1">L12/K12</f>
        <v>0.50379500480257111</v>
      </c>
      <c r="N12" s="15">
        <v>3331.6343200000001</v>
      </c>
      <c r="O12" s="16">
        <f>L12-N12</f>
        <v>-1406.6991000000003</v>
      </c>
      <c r="Q12" s="13">
        <f>J12-K12</f>
        <v>-96</v>
      </c>
    </row>
    <row r="13" spans="1:22" ht="21" customHeight="1" x14ac:dyDescent="0.2">
      <c r="A13" s="14" t="s">
        <v>3</v>
      </c>
      <c r="B13" s="17" t="s">
        <v>4</v>
      </c>
      <c r="C13" s="15">
        <v>2240</v>
      </c>
      <c r="D13" s="15">
        <v>1001</v>
      </c>
      <c r="E13" s="15">
        <v>655.7</v>
      </c>
      <c r="F13" s="33">
        <f t="shared" si="0"/>
        <v>0.65504495504495508</v>
      </c>
      <c r="G13" s="43">
        <v>449.84300000000002</v>
      </c>
      <c r="H13" s="33">
        <f>E13/G13</f>
        <v>1.4576196584141579</v>
      </c>
      <c r="I13" s="15">
        <f>E13-G13</f>
        <v>205.85700000000003</v>
      </c>
      <c r="J13" s="16"/>
      <c r="K13" s="16"/>
      <c r="L13" s="16"/>
      <c r="M13" s="33">
        <v>0</v>
      </c>
      <c r="N13" s="16"/>
      <c r="O13" s="16">
        <f>L13-N13</f>
        <v>0</v>
      </c>
      <c r="Q13" s="13">
        <f t="shared" ref="Q13:Q79" si="2">J13-K13</f>
        <v>0</v>
      </c>
    </row>
    <row r="14" spans="1:22" ht="23.25" customHeight="1" x14ac:dyDescent="0.2">
      <c r="A14" s="29" t="s">
        <v>5</v>
      </c>
      <c r="B14" s="30" t="s">
        <v>6</v>
      </c>
      <c r="C14" s="31">
        <f>SUM(C15:C28)</f>
        <v>560802.95056000003</v>
      </c>
      <c r="D14" s="31">
        <f>SUM(D15:D28)</f>
        <v>303042.40000000002</v>
      </c>
      <c r="E14" s="31">
        <f>SUM(E15:E28)</f>
        <v>295308</v>
      </c>
      <c r="F14" s="32">
        <f t="shared" si="0"/>
        <v>0.97447749885824553</v>
      </c>
      <c r="G14" s="31">
        <f>SUM(G15:G28)</f>
        <v>204785.39310000002</v>
      </c>
      <c r="H14" s="32">
        <f t="shared" ref="H14:H94" si="3">E14/G14</f>
        <v>1.4420364437604021</v>
      </c>
      <c r="I14" s="31">
        <f t="shared" ref="I14:I94" si="4">E14-G14</f>
        <v>90522.606899999984</v>
      </c>
      <c r="J14" s="31">
        <f>SUM(J15:J28)</f>
        <v>31208.154000000002</v>
      </c>
      <c r="K14" s="31">
        <f>SUM(K15:K28)</f>
        <v>31914.585360000005</v>
      </c>
      <c r="L14" s="31">
        <f>SUM(L15:L28)</f>
        <v>8646.5579200000011</v>
      </c>
      <c r="M14" s="32">
        <f t="shared" si="1"/>
        <v>0.27092809831197506</v>
      </c>
      <c r="N14" s="31">
        <f>SUM(N15:N28)</f>
        <v>2041.7466100000004</v>
      </c>
      <c r="O14" s="31">
        <f>SUM(O15:O28)</f>
        <v>6604.81131</v>
      </c>
      <c r="Q14" s="13">
        <f t="shared" si="2"/>
        <v>-706.43136000000231</v>
      </c>
    </row>
    <row r="15" spans="1:22" ht="18" customHeight="1" x14ac:dyDescent="0.2">
      <c r="A15" s="14" t="s">
        <v>7</v>
      </c>
      <c r="B15" s="17" t="s">
        <v>8</v>
      </c>
      <c r="C15" s="15">
        <v>180074.6</v>
      </c>
      <c r="D15" s="15">
        <v>88413.7</v>
      </c>
      <c r="E15" s="15">
        <v>86995.9</v>
      </c>
      <c r="F15" s="33">
        <f t="shared" si="0"/>
        <v>0.98396402367506386</v>
      </c>
      <c r="G15" s="43">
        <f>58712.07956-33.32198</f>
        <v>58678.757579999998</v>
      </c>
      <c r="H15" s="33">
        <f t="shared" si="3"/>
        <v>1.482579106781422</v>
      </c>
      <c r="I15" s="15">
        <f t="shared" si="4"/>
        <v>28317.142419999996</v>
      </c>
      <c r="J15" s="15">
        <v>27004.219000000001</v>
      </c>
      <c r="K15" s="16">
        <v>27178.707999999999</v>
      </c>
      <c r="L15" s="15">
        <v>6890.3271400000003</v>
      </c>
      <c r="M15" s="33">
        <f t="shared" si="1"/>
        <v>0.25351930415529689</v>
      </c>
      <c r="N15" s="15">
        <v>1371.86841</v>
      </c>
      <c r="O15" s="16">
        <f t="shared" ref="O15:O28" si="5">L15-N15</f>
        <v>5518.4587300000003</v>
      </c>
      <c r="Q15" s="13">
        <f t="shared" si="2"/>
        <v>-174.48899999999776</v>
      </c>
    </row>
    <row r="16" spans="1:22" ht="32.25" customHeight="1" x14ac:dyDescent="0.2">
      <c r="A16" s="14" t="s">
        <v>9</v>
      </c>
      <c r="B16" s="17" t="s">
        <v>10</v>
      </c>
      <c r="C16" s="15">
        <v>72308.899999999994</v>
      </c>
      <c r="D16" s="15">
        <v>35692.699999999997</v>
      </c>
      <c r="E16" s="15">
        <v>32859.5</v>
      </c>
      <c r="F16" s="33">
        <f t="shared" si="0"/>
        <v>0.92062242419318241</v>
      </c>
      <c r="G16" s="40">
        <f>123405.10438-G17-147.12012</f>
        <v>26069.904260000003</v>
      </c>
      <c r="H16" s="33">
        <f t="shared" si="3"/>
        <v>1.2604380772666479</v>
      </c>
      <c r="I16" s="15">
        <f t="shared" si="4"/>
        <v>6789.595739999997</v>
      </c>
      <c r="J16" s="15">
        <v>1236.143</v>
      </c>
      <c r="K16" s="16">
        <v>1548.451</v>
      </c>
      <c r="L16" s="15">
        <v>518.10923000000003</v>
      </c>
      <c r="M16" s="33">
        <f t="shared" si="1"/>
        <v>0.3345984018867888</v>
      </c>
      <c r="N16" s="15">
        <v>653.17565000000002</v>
      </c>
      <c r="O16" s="16">
        <f t="shared" si="5"/>
        <v>-135.06641999999999</v>
      </c>
      <c r="Q16" s="13">
        <f t="shared" si="2"/>
        <v>-312.30799999999999</v>
      </c>
    </row>
    <row r="17" spans="1:17" ht="33.75" customHeight="1" x14ac:dyDescent="0.2">
      <c r="A17" s="14" t="s">
        <v>11</v>
      </c>
      <c r="B17" s="17" t="s">
        <v>10</v>
      </c>
      <c r="C17" s="15">
        <v>248056.1</v>
      </c>
      <c r="D17" s="15">
        <v>143477.6</v>
      </c>
      <c r="E17" s="15">
        <v>143477.6</v>
      </c>
      <c r="F17" s="33">
        <f t="shared" si="0"/>
        <v>1</v>
      </c>
      <c r="G17" s="40">
        <f>96630.3+557.78</f>
        <v>97188.08</v>
      </c>
      <c r="H17" s="33">
        <f t="shared" si="3"/>
        <v>1.4762880386154351</v>
      </c>
      <c r="I17" s="15">
        <f t="shared" si="4"/>
        <v>46289.520000000004</v>
      </c>
      <c r="J17" s="16"/>
      <c r="K17" s="16"/>
      <c r="L17" s="16"/>
      <c r="M17" s="33">
        <v>0</v>
      </c>
      <c r="N17" s="16"/>
      <c r="O17" s="16">
        <f t="shared" si="5"/>
        <v>0</v>
      </c>
      <c r="Q17" s="13">
        <f t="shared" si="2"/>
        <v>0</v>
      </c>
    </row>
    <row r="18" spans="1:17" ht="30" customHeight="1" x14ac:dyDescent="0.2">
      <c r="A18" s="14" t="s">
        <v>12</v>
      </c>
      <c r="B18" s="17" t="s">
        <v>10</v>
      </c>
      <c r="C18" s="15">
        <v>804.5</v>
      </c>
      <c r="D18" s="15">
        <v>609.5</v>
      </c>
      <c r="E18" s="15">
        <v>309.5</v>
      </c>
      <c r="F18" s="33">
        <v>0</v>
      </c>
      <c r="G18" s="44"/>
      <c r="H18" s="33">
        <v>0</v>
      </c>
      <c r="I18" s="15">
        <f t="shared" si="4"/>
        <v>309.5</v>
      </c>
      <c r="J18" s="15">
        <v>616.77499999999998</v>
      </c>
      <c r="K18" s="16">
        <v>616.77499999999998</v>
      </c>
      <c r="L18" s="16"/>
      <c r="M18" s="33">
        <f t="shared" si="1"/>
        <v>0</v>
      </c>
      <c r="N18" s="16"/>
      <c r="O18" s="16">
        <f t="shared" si="5"/>
        <v>0</v>
      </c>
      <c r="Q18" s="13">
        <f t="shared" si="2"/>
        <v>0</v>
      </c>
    </row>
    <row r="19" spans="1:17" ht="29.25" customHeight="1" x14ac:dyDescent="0.2">
      <c r="A19" s="14" t="s">
        <v>13</v>
      </c>
      <c r="B19" s="17" t="s">
        <v>14</v>
      </c>
      <c r="C19" s="15">
        <v>10167.9</v>
      </c>
      <c r="D19" s="15">
        <v>5752.7</v>
      </c>
      <c r="E19" s="15">
        <v>5474.6</v>
      </c>
      <c r="F19" s="33">
        <f t="shared" si="0"/>
        <v>0.95165748257340044</v>
      </c>
      <c r="G19" s="45">
        <v>4416.0835399999996</v>
      </c>
      <c r="H19" s="33">
        <f t="shared" si="3"/>
        <v>1.2396957508643509</v>
      </c>
      <c r="I19" s="15">
        <f t="shared" si="4"/>
        <v>1058.5164600000007</v>
      </c>
      <c r="J19" s="15">
        <v>160.965</v>
      </c>
      <c r="K19" s="16">
        <v>212.79991999999999</v>
      </c>
      <c r="L19" s="15">
        <v>66.091080000000005</v>
      </c>
      <c r="M19" s="33">
        <f t="shared" si="1"/>
        <v>0.31057850021748135</v>
      </c>
      <c r="N19" s="15">
        <v>9.0545600000000004</v>
      </c>
      <c r="O19" s="16">
        <f t="shared" si="5"/>
        <v>57.036520000000003</v>
      </c>
      <c r="Q19" s="13">
        <f t="shared" si="2"/>
        <v>-51.834919999999983</v>
      </c>
    </row>
    <row r="20" spans="1:17" ht="18" customHeight="1" x14ac:dyDescent="0.2">
      <c r="A20" s="14" t="s">
        <v>15</v>
      </c>
      <c r="B20" s="17" t="s">
        <v>16</v>
      </c>
      <c r="C20" s="15">
        <v>19747.774000000001</v>
      </c>
      <c r="D20" s="15">
        <v>13909.1</v>
      </c>
      <c r="E20" s="15">
        <v>13663.4</v>
      </c>
      <c r="F20" s="33">
        <f t="shared" si="0"/>
        <v>0.98233530566319882</v>
      </c>
      <c r="G20" s="43">
        <v>12094.288640000001</v>
      </c>
      <c r="H20" s="33">
        <f t="shared" si="3"/>
        <v>1.1297398637246348</v>
      </c>
      <c r="I20" s="15">
        <f t="shared" si="4"/>
        <v>1569.111359999999</v>
      </c>
      <c r="J20" s="15">
        <v>1890</v>
      </c>
      <c r="K20" s="16">
        <f>99.17151+1790.82849</f>
        <v>1890</v>
      </c>
      <c r="L20" s="15">
        <f>926.0718+99.17151</f>
        <v>1025.2433100000001</v>
      </c>
      <c r="M20" s="33">
        <f t="shared" si="1"/>
        <v>0.54245677777777779</v>
      </c>
      <c r="N20" s="15">
        <v>5.9305599999999998</v>
      </c>
      <c r="O20" s="16">
        <f t="shared" si="5"/>
        <v>1019.3127500000001</v>
      </c>
      <c r="Q20" s="13">
        <f t="shared" si="2"/>
        <v>0</v>
      </c>
    </row>
    <row r="21" spans="1:17" ht="18.75" customHeight="1" x14ac:dyDescent="0.2">
      <c r="A21" s="14" t="s">
        <v>17</v>
      </c>
      <c r="B21" s="17" t="s">
        <v>18</v>
      </c>
      <c r="C21" s="15">
        <v>0</v>
      </c>
      <c r="D21" s="15">
        <v>0</v>
      </c>
      <c r="E21" s="15">
        <v>0</v>
      </c>
      <c r="F21" s="33">
        <v>0</v>
      </c>
      <c r="G21" s="43">
        <v>841.03193999999996</v>
      </c>
      <c r="H21" s="33">
        <f t="shared" si="3"/>
        <v>0</v>
      </c>
      <c r="I21" s="15">
        <f t="shared" si="4"/>
        <v>-841.03193999999996</v>
      </c>
      <c r="J21" s="16"/>
      <c r="K21" s="16"/>
      <c r="L21" s="16"/>
      <c r="M21" s="33">
        <v>0</v>
      </c>
      <c r="N21" s="15">
        <v>0.31742999999999999</v>
      </c>
      <c r="O21" s="16">
        <f t="shared" si="5"/>
        <v>-0.31742999999999999</v>
      </c>
      <c r="Q21" s="13">
        <f t="shared" si="2"/>
        <v>0</v>
      </c>
    </row>
    <row r="22" spans="1:17" ht="21" customHeight="1" x14ac:dyDescent="0.2">
      <c r="A22" s="14" t="s">
        <v>19</v>
      </c>
      <c r="B22" s="17" t="s">
        <v>20</v>
      </c>
      <c r="C22" s="15">
        <v>13082.3</v>
      </c>
      <c r="D22" s="15">
        <v>7357.7</v>
      </c>
      <c r="E22" s="15">
        <v>6776.2</v>
      </c>
      <c r="F22" s="33">
        <f t="shared" si="0"/>
        <v>0.92096715006048091</v>
      </c>
      <c r="G22" s="43">
        <v>3380.0567799999999</v>
      </c>
      <c r="H22" s="33">
        <f t="shared" si="3"/>
        <v>2.0047592218258536</v>
      </c>
      <c r="I22" s="15">
        <f t="shared" si="4"/>
        <v>3396.1432199999999</v>
      </c>
      <c r="J22" s="16"/>
      <c r="K22" s="16">
        <v>150.95500000000001</v>
      </c>
      <c r="L22" s="15">
        <v>129.94272000000001</v>
      </c>
      <c r="M22" s="33">
        <f t="shared" si="1"/>
        <v>0.8608043456659269</v>
      </c>
      <c r="N22" s="15">
        <v>1.4000000000000001</v>
      </c>
      <c r="O22" s="16">
        <f t="shared" si="5"/>
        <v>128.54272</v>
      </c>
      <c r="Q22" s="13">
        <f t="shared" si="2"/>
        <v>-150.95500000000001</v>
      </c>
    </row>
    <row r="23" spans="1:17" ht="21.75" customHeight="1" x14ac:dyDescent="0.2">
      <c r="A23" s="14" t="s">
        <v>21</v>
      </c>
      <c r="B23" s="17" t="s">
        <v>22</v>
      </c>
      <c r="C23" s="15">
        <v>7642</v>
      </c>
      <c r="D23" s="15">
        <v>3035.8</v>
      </c>
      <c r="E23" s="15">
        <v>2020.3</v>
      </c>
      <c r="F23" s="33">
        <f t="shared" si="0"/>
        <v>0.66549179787864809</v>
      </c>
      <c r="G23" s="43">
        <f>34.39+151.87147+749.973</f>
        <v>936.23446999999987</v>
      </c>
      <c r="H23" s="33">
        <f t="shared" si="3"/>
        <v>2.1578996124763492</v>
      </c>
      <c r="I23" s="15">
        <f t="shared" si="4"/>
        <v>1084.0655300000001</v>
      </c>
      <c r="J23" s="16"/>
      <c r="K23" s="16"/>
      <c r="L23" s="16"/>
      <c r="M23" s="33">
        <v>0</v>
      </c>
      <c r="N23" s="16"/>
      <c r="O23" s="16">
        <f t="shared" si="5"/>
        <v>0</v>
      </c>
      <c r="Q23" s="13">
        <f t="shared" si="2"/>
        <v>0</v>
      </c>
    </row>
    <row r="24" spans="1:17" ht="33" customHeight="1" x14ac:dyDescent="0.2">
      <c r="A24" s="14" t="s">
        <v>23</v>
      </c>
      <c r="B24" s="17" t="s">
        <v>24</v>
      </c>
      <c r="C24" s="15">
        <v>1198.4280000000003</v>
      </c>
      <c r="D24" s="15">
        <v>596.4</v>
      </c>
      <c r="E24" s="15">
        <v>533</v>
      </c>
      <c r="F24" s="33">
        <f t="shared" si="0"/>
        <v>0.8936955063715627</v>
      </c>
      <c r="G24" s="40">
        <v>352.97381999999999</v>
      </c>
      <c r="H24" s="33">
        <f t="shared" si="3"/>
        <v>1.5100270042690418</v>
      </c>
      <c r="I24" s="15">
        <f t="shared" si="4"/>
        <v>180.02618000000001</v>
      </c>
      <c r="J24" s="15">
        <v>30.052</v>
      </c>
      <c r="K24" s="16">
        <v>46.259619999999998</v>
      </c>
      <c r="L24" s="15">
        <v>16.207619999999999</v>
      </c>
      <c r="M24" s="33">
        <f t="shared" si="1"/>
        <v>0.35036215169947355</v>
      </c>
      <c r="N24" s="16"/>
      <c r="O24" s="16">
        <f t="shared" si="5"/>
        <v>16.207619999999999</v>
      </c>
      <c r="Q24" s="13">
        <f t="shared" si="2"/>
        <v>-16.207619999999999</v>
      </c>
    </row>
    <row r="25" spans="1:17" ht="29.25" customHeight="1" x14ac:dyDescent="0.2">
      <c r="A25" s="14" t="s">
        <v>25</v>
      </c>
      <c r="B25" s="17" t="s">
        <v>26</v>
      </c>
      <c r="C25" s="15">
        <v>1855.6</v>
      </c>
      <c r="D25" s="15">
        <v>1101.5</v>
      </c>
      <c r="E25" s="15">
        <v>462.8</v>
      </c>
      <c r="F25" s="33">
        <f t="shared" si="0"/>
        <v>0.42015433499773036</v>
      </c>
      <c r="G25" s="40">
        <v>647.53997000000004</v>
      </c>
      <c r="H25" s="33">
        <f t="shared" si="3"/>
        <v>0.7147049162077207</v>
      </c>
      <c r="I25" s="15">
        <f t="shared" si="4"/>
        <v>-184.73997000000003</v>
      </c>
      <c r="J25" s="16"/>
      <c r="K25" s="16"/>
      <c r="L25" s="16"/>
      <c r="M25" s="33">
        <v>0</v>
      </c>
      <c r="N25" s="16"/>
      <c r="O25" s="16">
        <f t="shared" si="5"/>
        <v>0</v>
      </c>
      <c r="Q25" s="13">
        <f t="shared" si="2"/>
        <v>0</v>
      </c>
    </row>
    <row r="26" spans="1:17" ht="64.5" customHeight="1" x14ac:dyDescent="0.2">
      <c r="A26" s="14" t="s">
        <v>27</v>
      </c>
      <c r="B26" s="17" t="s">
        <v>28</v>
      </c>
      <c r="C26" s="15">
        <v>515.64855999999997</v>
      </c>
      <c r="D26" s="15">
        <v>515.6</v>
      </c>
      <c r="E26" s="15">
        <v>509.5</v>
      </c>
      <c r="F26" s="33">
        <v>0</v>
      </c>
      <c r="G26" s="40"/>
      <c r="H26" s="33">
        <v>0</v>
      </c>
      <c r="I26" s="15">
        <f t="shared" si="4"/>
        <v>509.5</v>
      </c>
      <c r="J26" s="16"/>
      <c r="K26" s="16"/>
      <c r="L26" s="16"/>
      <c r="M26" s="33">
        <v>0</v>
      </c>
      <c r="N26" s="16"/>
      <c r="O26" s="16">
        <f t="shared" si="5"/>
        <v>0</v>
      </c>
      <c r="Q26" s="13">
        <f t="shared" si="2"/>
        <v>0</v>
      </c>
    </row>
    <row r="27" spans="1:17" ht="33.75" customHeight="1" x14ac:dyDescent="0.2">
      <c r="A27" s="14" t="s">
        <v>29</v>
      </c>
      <c r="B27" s="17" t="s">
        <v>30</v>
      </c>
      <c r="C27" s="15">
        <v>2961.8</v>
      </c>
      <c r="D27" s="15">
        <v>1609.4</v>
      </c>
      <c r="E27" s="15">
        <v>1328.2</v>
      </c>
      <c r="F27" s="33">
        <f t="shared" si="0"/>
        <v>0.82527650055921464</v>
      </c>
      <c r="G27" s="40"/>
      <c r="H27" s="33">
        <v>0</v>
      </c>
      <c r="I27" s="15">
        <f t="shared" si="4"/>
        <v>1328.2</v>
      </c>
      <c r="J27" s="16"/>
      <c r="K27" s="16">
        <v>0.63682000000000005</v>
      </c>
      <c r="L27" s="15">
        <v>0.63682000000000005</v>
      </c>
      <c r="M27" s="33">
        <f t="shared" si="1"/>
        <v>1</v>
      </c>
      <c r="N27" s="16"/>
      <c r="O27" s="16">
        <f t="shared" si="5"/>
        <v>0.63682000000000005</v>
      </c>
      <c r="Q27" s="13">
        <f t="shared" si="2"/>
        <v>-0.63682000000000005</v>
      </c>
    </row>
    <row r="28" spans="1:17" ht="43.5" customHeight="1" x14ac:dyDescent="0.2">
      <c r="A28" s="14" t="s">
        <v>31</v>
      </c>
      <c r="B28" s="17" t="s">
        <v>32</v>
      </c>
      <c r="C28" s="15">
        <v>2387.4</v>
      </c>
      <c r="D28" s="15">
        <v>970.7</v>
      </c>
      <c r="E28" s="15">
        <v>897.5</v>
      </c>
      <c r="F28" s="33">
        <f t="shared" si="0"/>
        <v>0.92459050169980417</v>
      </c>
      <c r="G28" s="46">
        <v>180.44210000000001</v>
      </c>
      <c r="H28" s="33">
        <f t="shared" si="3"/>
        <v>4.9738946731389175</v>
      </c>
      <c r="I28" s="15">
        <f t="shared" si="4"/>
        <v>717.05790000000002</v>
      </c>
      <c r="J28" s="15">
        <v>270</v>
      </c>
      <c r="K28" s="16">
        <v>270</v>
      </c>
      <c r="L28" s="15"/>
      <c r="M28" s="33">
        <f t="shared" si="1"/>
        <v>0</v>
      </c>
      <c r="N28" s="16"/>
      <c r="O28" s="16">
        <f t="shared" si="5"/>
        <v>0</v>
      </c>
      <c r="Q28" s="13">
        <f t="shared" si="2"/>
        <v>0</v>
      </c>
    </row>
    <row r="29" spans="1:17" ht="27" customHeight="1" x14ac:dyDescent="0.2">
      <c r="A29" s="29" t="s">
        <v>33</v>
      </c>
      <c r="B29" s="30" t="s">
        <v>34</v>
      </c>
      <c r="C29" s="31">
        <f>SUM(C30:C33)</f>
        <v>38142.868999999999</v>
      </c>
      <c r="D29" s="31">
        <f t="shared" ref="D29:O29" si="6">SUM(D30:D33)</f>
        <v>18322.2</v>
      </c>
      <c r="E29" s="31">
        <f t="shared" si="6"/>
        <v>15127.5</v>
      </c>
      <c r="F29" s="32">
        <f t="shared" si="0"/>
        <v>0.82563775092510716</v>
      </c>
      <c r="G29" s="31">
        <f t="shared" si="6"/>
        <v>50166.6273</v>
      </c>
      <c r="H29" s="32">
        <f t="shared" si="3"/>
        <v>0.30154508712607836</v>
      </c>
      <c r="I29" s="31">
        <f t="shared" si="4"/>
        <v>-35039.1273</v>
      </c>
      <c r="J29" s="31">
        <f t="shared" si="6"/>
        <v>4567.5600000000004</v>
      </c>
      <c r="K29" s="31">
        <f t="shared" si="6"/>
        <v>4567.5600000000004</v>
      </c>
      <c r="L29" s="31">
        <f t="shared" si="6"/>
        <v>0</v>
      </c>
      <c r="M29" s="32">
        <f t="shared" si="1"/>
        <v>0</v>
      </c>
      <c r="N29" s="31">
        <f t="shared" si="6"/>
        <v>9357.5509999999995</v>
      </c>
      <c r="O29" s="31">
        <f t="shared" si="6"/>
        <v>-9357.5509999999995</v>
      </c>
      <c r="Q29" s="13">
        <f t="shared" si="2"/>
        <v>0</v>
      </c>
    </row>
    <row r="30" spans="1:17" ht="26.25" customHeight="1" x14ac:dyDescent="0.2">
      <c r="A30" s="14" t="s">
        <v>35</v>
      </c>
      <c r="B30" s="17" t="s">
        <v>36</v>
      </c>
      <c r="C30" s="15">
        <v>9191.6530000000002</v>
      </c>
      <c r="D30" s="15">
        <v>4474.7</v>
      </c>
      <c r="E30" s="15">
        <v>3334.8</v>
      </c>
      <c r="F30" s="33">
        <f t="shared" si="0"/>
        <v>0.74525666525130185</v>
      </c>
      <c r="G30" s="43">
        <v>38533.397140000001</v>
      </c>
      <c r="H30" s="33">
        <f t="shared" si="3"/>
        <v>8.6543109289948267E-2</v>
      </c>
      <c r="I30" s="15">
        <f t="shared" si="4"/>
        <v>-35198.597139999998</v>
      </c>
      <c r="J30" s="16"/>
      <c r="K30" s="16"/>
      <c r="L30" s="16"/>
      <c r="M30" s="33">
        <v>0</v>
      </c>
      <c r="N30" s="15">
        <v>4066.1669999999999</v>
      </c>
      <c r="O30" s="16">
        <f>L30-N30</f>
        <v>-4066.1669999999999</v>
      </c>
      <c r="Q30" s="13">
        <f t="shared" si="2"/>
        <v>0</v>
      </c>
    </row>
    <row r="31" spans="1:17" ht="38.25" x14ac:dyDescent="0.2">
      <c r="A31" s="14" t="s">
        <v>37</v>
      </c>
      <c r="B31" s="17" t="s">
        <v>38</v>
      </c>
      <c r="C31" s="15">
        <v>1459.5160000000001</v>
      </c>
      <c r="D31" s="15">
        <v>830.3</v>
      </c>
      <c r="E31" s="15">
        <v>787.5</v>
      </c>
      <c r="F31" s="33">
        <f t="shared" si="0"/>
        <v>0.94845236661447674</v>
      </c>
      <c r="G31" s="43">
        <v>411.21715</v>
      </c>
      <c r="H31" s="33">
        <f t="shared" si="3"/>
        <v>1.915046587915898</v>
      </c>
      <c r="I31" s="15">
        <f t="shared" si="4"/>
        <v>376.28285</v>
      </c>
      <c r="J31" s="16"/>
      <c r="K31" s="16"/>
      <c r="L31" s="16"/>
      <c r="M31" s="33">
        <v>0</v>
      </c>
      <c r="N31" s="16"/>
      <c r="O31" s="16">
        <f>L31-N31</f>
        <v>0</v>
      </c>
      <c r="Q31" s="13">
        <f t="shared" si="2"/>
        <v>0</v>
      </c>
    </row>
    <row r="32" spans="1:17" ht="30" customHeight="1" x14ac:dyDescent="0.2">
      <c r="A32" s="14" t="s">
        <v>39</v>
      </c>
      <c r="B32" s="17" t="s">
        <v>40</v>
      </c>
      <c r="C32" s="15">
        <v>5742.2</v>
      </c>
      <c r="D32" s="15">
        <v>3994.2</v>
      </c>
      <c r="E32" s="15">
        <v>2854.4</v>
      </c>
      <c r="F32" s="33">
        <f t="shared" si="0"/>
        <v>0.7146362225226579</v>
      </c>
      <c r="G32" s="43">
        <v>2524.2601100000002</v>
      </c>
      <c r="H32" s="33">
        <f t="shared" si="3"/>
        <v>1.1307867951849067</v>
      </c>
      <c r="I32" s="15">
        <f t="shared" si="4"/>
        <v>330.13988999999992</v>
      </c>
      <c r="J32" s="16"/>
      <c r="K32" s="16"/>
      <c r="L32" s="16"/>
      <c r="M32" s="33">
        <v>0</v>
      </c>
      <c r="N32" s="16"/>
      <c r="O32" s="16">
        <f>L32-N32</f>
        <v>0</v>
      </c>
      <c r="Q32" s="13">
        <f t="shared" si="2"/>
        <v>0</v>
      </c>
    </row>
    <row r="33" spans="1:17" ht="21.75" customHeight="1" x14ac:dyDescent="0.2">
      <c r="A33" s="14" t="s">
        <v>41</v>
      </c>
      <c r="B33" s="17" t="s">
        <v>42</v>
      </c>
      <c r="C33" s="15">
        <v>21749.5</v>
      </c>
      <c r="D33" s="15">
        <v>9023</v>
      </c>
      <c r="E33" s="15">
        <v>8150.8</v>
      </c>
      <c r="F33" s="33">
        <f t="shared" si="0"/>
        <v>0.90333591931730028</v>
      </c>
      <c r="G33" s="43">
        <v>8697.7528999999995</v>
      </c>
      <c r="H33" s="33">
        <f t="shared" si="3"/>
        <v>0.9371156083314347</v>
      </c>
      <c r="I33" s="15">
        <f t="shared" si="4"/>
        <v>-546.95289999999932</v>
      </c>
      <c r="J33" s="15">
        <v>4567.5600000000004</v>
      </c>
      <c r="K33" s="16">
        <f>4500+67.56</f>
        <v>4567.5600000000004</v>
      </c>
      <c r="L33" s="16"/>
      <c r="M33" s="33">
        <f t="shared" si="1"/>
        <v>0</v>
      </c>
      <c r="N33" s="16">
        <v>5291.384</v>
      </c>
      <c r="O33" s="16">
        <f>L33-N33</f>
        <v>-5291.384</v>
      </c>
      <c r="Q33" s="13">
        <f t="shared" si="2"/>
        <v>0</v>
      </c>
    </row>
    <row r="34" spans="1:17" ht="24.75" customHeight="1" x14ac:dyDescent="0.2">
      <c r="A34" s="29" t="s">
        <v>43</v>
      </c>
      <c r="B34" s="30" t="s">
        <v>44</v>
      </c>
      <c r="C34" s="31">
        <f>SUM(C35:C45)</f>
        <v>30809.470999999998</v>
      </c>
      <c r="D34" s="31">
        <f t="shared" ref="D34:L34" si="7">SUM(D35:D45)</f>
        <v>16765.900000000001</v>
      </c>
      <c r="E34" s="31">
        <f t="shared" si="7"/>
        <v>14532.831960000001</v>
      </c>
      <c r="F34" s="32">
        <f t="shared" si="0"/>
        <v>0.8668089371879828</v>
      </c>
      <c r="G34" s="31">
        <f t="shared" si="7"/>
        <v>20871.119500000001</v>
      </c>
      <c r="H34" s="32">
        <f t="shared" si="3"/>
        <v>0.69631300611354374</v>
      </c>
      <c r="I34" s="31">
        <f t="shared" si="4"/>
        <v>-6338.2875399999994</v>
      </c>
      <c r="J34" s="31">
        <f t="shared" si="7"/>
        <v>0</v>
      </c>
      <c r="K34" s="31">
        <f t="shared" si="7"/>
        <v>0</v>
      </c>
      <c r="L34" s="31">
        <f t="shared" si="7"/>
        <v>0</v>
      </c>
      <c r="M34" s="32">
        <v>0</v>
      </c>
      <c r="N34" s="31">
        <f>SUM(N35:N45)</f>
        <v>30.369620000000001</v>
      </c>
      <c r="O34" s="31">
        <f>SUM(O35:O45)</f>
        <v>-30.369620000000001</v>
      </c>
      <c r="Q34" s="13">
        <f t="shared" si="2"/>
        <v>0</v>
      </c>
    </row>
    <row r="35" spans="1:17" ht="30.75" customHeight="1" x14ac:dyDescent="0.2">
      <c r="A35" s="14" t="s">
        <v>45</v>
      </c>
      <c r="B35" s="17" t="s">
        <v>46</v>
      </c>
      <c r="C35" s="15">
        <v>350</v>
      </c>
      <c r="D35" s="15">
        <v>175.2</v>
      </c>
      <c r="E35" s="15">
        <v>46.1</v>
      </c>
      <c r="F35" s="33">
        <f t="shared" si="0"/>
        <v>0.26312785388127857</v>
      </c>
      <c r="G35" s="43">
        <v>277.19562000000002</v>
      </c>
      <c r="H35" s="33">
        <f t="shared" si="3"/>
        <v>0.16630854412490356</v>
      </c>
      <c r="I35" s="15">
        <f t="shared" si="4"/>
        <v>-231.09562000000003</v>
      </c>
      <c r="J35" s="16"/>
      <c r="K35" s="16"/>
      <c r="L35" s="16"/>
      <c r="M35" s="33">
        <v>0</v>
      </c>
      <c r="N35" s="16"/>
      <c r="O35" s="16">
        <f t="shared" ref="O35:O45" si="8">L35-N35</f>
        <v>0</v>
      </c>
      <c r="Q35" s="13">
        <f t="shared" si="2"/>
        <v>0</v>
      </c>
    </row>
    <row r="36" spans="1:17" ht="33.75" customHeight="1" x14ac:dyDescent="0.2">
      <c r="A36" s="14" t="s">
        <v>47</v>
      </c>
      <c r="B36" s="17" t="s">
        <v>48</v>
      </c>
      <c r="C36" s="15">
        <v>8000</v>
      </c>
      <c r="D36" s="15">
        <v>4049.9</v>
      </c>
      <c r="E36" s="15">
        <v>3768.5</v>
      </c>
      <c r="F36" s="33">
        <f t="shared" si="0"/>
        <v>0.93051680288402183</v>
      </c>
      <c r="G36" s="43">
        <v>3318.64</v>
      </c>
      <c r="H36" s="33">
        <f t="shared" si="3"/>
        <v>1.1355555287708219</v>
      </c>
      <c r="I36" s="15">
        <f t="shared" si="4"/>
        <v>449.86000000000013</v>
      </c>
      <c r="J36" s="16"/>
      <c r="K36" s="16"/>
      <c r="L36" s="16"/>
      <c r="M36" s="33">
        <v>0</v>
      </c>
      <c r="N36" s="16"/>
      <c r="O36" s="16">
        <f t="shared" si="8"/>
        <v>0</v>
      </c>
      <c r="Q36" s="13">
        <f t="shared" si="2"/>
        <v>0</v>
      </c>
    </row>
    <row r="37" spans="1:17" ht="36" customHeight="1" x14ac:dyDescent="0.2">
      <c r="A37" s="14" t="s">
        <v>49</v>
      </c>
      <c r="B37" s="17" t="s">
        <v>50</v>
      </c>
      <c r="C37" s="15">
        <v>800</v>
      </c>
      <c r="D37" s="15">
        <v>203.4</v>
      </c>
      <c r="E37" s="15">
        <v>166</v>
      </c>
      <c r="F37" s="33">
        <f t="shared" si="0"/>
        <v>0.81612586037364798</v>
      </c>
      <c r="G37" s="40"/>
      <c r="H37" s="33">
        <v>0</v>
      </c>
      <c r="I37" s="15">
        <f t="shared" si="4"/>
        <v>166</v>
      </c>
      <c r="J37" s="16"/>
      <c r="K37" s="16"/>
      <c r="L37" s="16"/>
      <c r="M37" s="33">
        <v>0</v>
      </c>
      <c r="N37" s="16"/>
      <c r="O37" s="16">
        <f t="shared" si="8"/>
        <v>0</v>
      </c>
      <c r="Q37" s="13">
        <f t="shared" si="2"/>
        <v>0</v>
      </c>
    </row>
    <row r="38" spans="1:17" ht="46.5" customHeight="1" x14ac:dyDescent="0.2">
      <c r="A38" s="14" t="s">
        <v>51</v>
      </c>
      <c r="B38" s="17" t="s">
        <v>52</v>
      </c>
      <c r="C38" s="15">
        <v>2461.1709999999998</v>
      </c>
      <c r="D38" s="15">
        <v>1312.9</v>
      </c>
      <c r="E38" s="15">
        <v>1285.4000000000001</v>
      </c>
      <c r="F38" s="33">
        <f t="shared" si="0"/>
        <v>0.979054002589687</v>
      </c>
      <c r="G38" s="43">
        <v>826.14326000000005</v>
      </c>
      <c r="H38" s="33">
        <f t="shared" si="3"/>
        <v>1.5559044807797622</v>
      </c>
      <c r="I38" s="15">
        <f t="shared" si="4"/>
        <v>459.25674000000004</v>
      </c>
      <c r="J38" s="16"/>
      <c r="K38" s="16"/>
      <c r="L38" s="16"/>
      <c r="M38" s="33">
        <v>0</v>
      </c>
      <c r="N38" s="16"/>
      <c r="O38" s="16">
        <f t="shared" si="8"/>
        <v>0</v>
      </c>
      <c r="Q38" s="13">
        <f t="shared" si="2"/>
        <v>0</v>
      </c>
    </row>
    <row r="39" spans="1:17" ht="32.25" customHeight="1" x14ac:dyDescent="0.2">
      <c r="A39" s="14" t="s">
        <v>53</v>
      </c>
      <c r="B39" s="17" t="s">
        <v>54</v>
      </c>
      <c r="C39" s="15">
        <v>200</v>
      </c>
      <c r="D39" s="15">
        <v>200</v>
      </c>
      <c r="E39" s="15">
        <v>0</v>
      </c>
      <c r="F39" s="33">
        <f t="shared" si="0"/>
        <v>0</v>
      </c>
      <c r="G39" s="40"/>
      <c r="H39" s="33">
        <v>0</v>
      </c>
      <c r="I39" s="15">
        <f t="shared" si="4"/>
        <v>0</v>
      </c>
      <c r="J39" s="16"/>
      <c r="K39" s="16"/>
      <c r="L39" s="16"/>
      <c r="M39" s="33">
        <v>0</v>
      </c>
      <c r="N39" s="16">
        <v>19.12</v>
      </c>
      <c r="O39" s="16">
        <f t="shared" si="8"/>
        <v>-19.12</v>
      </c>
      <c r="Q39" s="13">
        <f t="shared" si="2"/>
        <v>0</v>
      </c>
    </row>
    <row r="40" spans="1:17" ht="34.5" customHeight="1" x14ac:dyDescent="0.2">
      <c r="A40" s="14" t="s">
        <v>55</v>
      </c>
      <c r="B40" s="17" t="s">
        <v>56</v>
      </c>
      <c r="C40" s="15">
        <v>561</v>
      </c>
      <c r="D40" s="15">
        <v>369.8</v>
      </c>
      <c r="E40" s="15">
        <v>80.816000000000003</v>
      </c>
      <c r="F40" s="33">
        <f t="shared" si="0"/>
        <v>0.218539751216874</v>
      </c>
      <c r="G40" s="43">
        <v>62.77</v>
      </c>
      <c r="H40" s="33">
        <f t="shared" si="3"/>
        <v>1.2874940258085072</v>
      </c>
      <c r="I40" s="15">
        <f t="shared" si="4"/>
        <v>18.045999999999999</v>
      </c>
      <c r="J40" s="16"/>
      <c r="K40" s="16"/>
      <c r="L40" s="16"/>
      <c r="M40" s="33">
        <v>0</v>
      </c>
      <c r="N40" s="16"/>
      <c r="O40" s="16">
        <f t="shared" si="8"/>
        <v>0</v>
      </c>
      <c r="Q40" s="13">
        <f t="shared" si="2"/>
        <v>0</v>
      </c>
    </row>
    <row r="41" spans="1:17" ht="59.25" customHeight="1" x14ac:dyDescent="0.2">
      <c r="A41" s="14" t="s">
        <v>57</v>
      </c>
      <c r="B41" s="17" t="s">
        <v>58</v>
      </c>
      <c r="C41" s="15">
        <v>673</v>
      </c>
      <c r="D41" s="15">
        <v>673</v>
      </c>
      <c r="E41" s="15">
        <v>0</v>
      </c>
      <c r="F41" s="33">
        <v>0</v>
      </c>
      <c r="G41" s="40"/>
      <c r="H41" s="33">
        <v>0</v>
      </c>
      <c r="I41" s="15">
        <f t="shared" si="4"/>
        <v>0</v>
      </c>
      <c r="J41" s="16"/>
      <c r="K41" s="16"/>
      <c r="L41" s="16"/>
      <c r="M41" s="33">
        <v>0</v>
      </c>
      <c r="N41" s="16"/>
      <c r="O41" s="16">
        <f t="shared" si="8"/>
        <v>0</v>
      </c>
      <c r="Q41" s="13">
        <f t="shared" si="2"/>
        <v>0</v>
      </c>
    </row>
    <row r="42" spans="1:17" ht="61.5" customHeight="1" x14ac:dyDescent="0.2">
      <c r="A42" s="14" t="s">
        <v>59</v>
      </c>
      <c r="B42" s="17" t="s">
        <v>60</v>
      </c>
      <c r="C42" s="15">
        <v>675</v>
      </c>
      <c r="D42" s="15">
        <v>394.2</v>
      </c>
      <c r="E42" s="15">
        <v>381.6</v>
      </c>
      <c r="F42" s="33">
        <f t="shared" si="0"/>
        <v>0.96803652968036535</v>
      </c>
      <c r="G42" s="43">
        <v>135.20562000000001</v>
      </c>
      <c r="H42" s="33">
        <f t="shared" si="3"/>
        <v>2.8223678867786708</v>
      </c>
      <c r="I42" s="15">
        <f t="shared" si="4"/>
        <v>246.39438000000001</v>
      </c>
      <c r="J42" s="16"/>
      <c r="K42" s="16"/>
      <c r="L42" s="16"/>
      <c r="M42" s="33">
        <v>0</v>
      </c>
      <c r="N42" s="16"/>
      <c r="O42" s="16">
        <f t="shared" si="8"/>
        <v>0</v>
      </c>
      <c r="Q42" s="13">
        <f t="shared" si="2"/>
        <v>0</v>
      </c>
    </row>
    <row r="43" spans="1:17" s="12" customFormat="1" ht="61.5" customHeight="1" x14ac:dyDescent="0.2">
      <c r="A43" s="14">
        <v>3171</v>
      </c>
      <c r="B43" s="17" t="s">
        <v>173</v>
      </c>
      <c r="C43" s="15">
        <v>0</v>
      </c>
      <c r="D43" s="15">
        <v>0</v>
      </c>
      <c r="E43" s="15">
        <v>0</v>
      </c>
      <c r="F43" s="33">
        <v>0</v>
      </c>
      <c r="G43" s="43">
        <v>15.89573</v>
      </c>
      <c r="H43" s="33">
        <f t="shared" si="3"/>
        <v>0</v>
      </c>
      <c r="I43" s="15">
        <f t="shared" si="4"/>
        <v>-15.89573</v>
      </c>
      <c r="J43" s="16"/>
      <c r="K43" s="16"/>
      <c r="L43" s="16"/>
      <c r="M43" s="33"/>
      <c r="N43" s="16"/>
      <c r="O43" s="16"/>
      <c r="Q43" s="13"/>
    </row>
    <row r="44" spans="1:17" ht="24" customHeight="1" x14ac:dyDescent="0.2">
      <c r="A44" s="14" t="s">
        <v>61</v>
      </c>
      <c r="B44" s="17" t="s">
        <v>62</v>
      </c>
      <c r="C44" s="15">
        <v>241.3</v>
      </c>
      <c r="D44" s="15">
        <v>134.5</v>
      </c>
      <c r="E44" s="15">
        <v>3.2159599999999999</v>
      </c>
      <c r="F44" s="33">
        <f t="shared" si="0"/>
        <v>2.3910483271375464E-2</v>
      </c>
      <c r="G44" s="43">
        <v>22.473269999999999</v>
      </c>
      <c r="H44" s="33">
        <f t="shared" si="3"/>
        <v>0.14310156020908396</v>
      </c>
      <c r="I44" s="15">
        <f t="shared" si="4"/>
        <v>-19.25731</v>
      </c>
      <c r="J44" s="16"/>
      <c r="K44" s="16"/>
      <c r="L44" s="16"/>
      <c r="M44" s="33">
        <v>0</v>
      </c>
      <c r="N44" s="15">
        <v>11.24962</v>
      </c>
      <c r="O44" s="16">
        <f t="shared" si="8"/>
        <v>-11.24962</v>
      </c>
      <c r="Q44" s="13">
        <f t="shared" si="2"/>
        <v>0</v>
      </c>
    </row>
    <row r="45" spans="1:17" ht="32.25" customHeight="1" x14ac:dyDescent="0.2">
      <c r="A45" s="14" t="s">
        <v>63</v>
      </c>
      <c r="B45" s="17" t="s">
        <v>64</v>
      </c>
      <c r="C45" s="15">
        <v>16848</v>
      </c>
      <c r="D45" s="15">
        <v>9253</v>
      </c>
      <c r="E45" s="15">
        <v>8801.2000000000007</v>
      </c>
      <c r="F45" s="33">
        <f t="shared" si="0"/>
        <v>0.95117259267264676</v>
      </c>
      <c r="G45" s="43">
        <v>16212.796</v>
      </c>
      <c r="H45" s="33">
        <f t="shared" si="3"/>
        <v>0.54285516205841366</v>
      </c>
      <c r="I45" s="15">
        <f t="shared" si="4"/>
        <v>-7411.5959999999995</v>
      </c>
      <c r="J45" s="16"/>
      <c r="K45" s="16"/>
      <c r="L45" s="16"/>
      <c r="M45" s="33">
        <v>0</v>
      </c>
      <c r="N45" s="16"/>
      <c r="O45" s="16">
        <f t="shared" si="8"/>
        <v>0</v>
      </c>
      <c r="Q45" s="13">
        <f t="shared" si="2"/>
        <v>0</v>
      </c>
    </row>
    <row r="46" spans="1:17" ht="23.25" customHeight="1" x14ac:dyDescent="0.2">
      <c r="A46" s="29" t="s">
        <v>65</v>
      </c>
      <c r="B46" s="30" t="s">
        <v>66</v>
      </c>
      <c r="C46" s="31">
        <f>SUM(C47:C52)</f>
        <v>23091.391599999999</v>
      </c>
      <c r="D46" s="31">
        <f>SUM(D47:D52)</f>
        <v>12670.901599999999</v>
      </c>
      <c r="E46" s="31">
        <f>SUM(E47:E52)</f>
        <v>10650.5016</v>
      </c>
      <c r="F46" s="32">
        <f t="shared" si="0"/>
        <v>0.84054804750437018</v>
      </c>
      <c r="G46" s="31">
        <f>SUM(G47:G52)</f>
        <v>8847.7880100000002</v>
      </c>
      <c r="H46" s="32">
        <f t="shared" si="3"/>
        <v>1.2037473759500708</v>
      </c>
      <c r="I46" s="31">
        <f t="shared" si="4"/>
        <v>1802.7135899999994</v>
      </c>
      <c r="J46" s="31">
        <f t="shared" ref="J46:O46" si="9">SUM(J47:J52)</f>
        <v>10112.400000000001</v>
      </c>
      <c r="K46" s="31">
        <f>SUM(K47:K52)</f>
        <v>10612.086319999999</v>
      </c>
      <c r="L46" s="31">
        <f t="shared" si="9"/>
        <v>3597.6828599999999</v>
      </c>
      <c r="M46" s="32">
        <f t="shared" si="1"/>
        <v>0.33901748925841763</v>
      </c>
      <c r="N46" s="31">
        <f t="shared" si="9"/>
        <v>3726.82683</v>
      </c>
      <c r="O46" s="31">
        <f t="shared" si="9"/>
        <v>-129.14396999999974</v>
      </c>
      <c r="Q46" s="13">
        <f t="shared" si="2"/>
        <v>-499.68631999999707</v>
      </c>
    </row>
    <row r="47" spans="1:17" ht="19.5" customHeight="1" x14ac:dyDescent="0.2">
      <c r="A47" s="14" t="s">
        <v>67</v>
      </c>
      <c r="B47" s="17" t="s">
        <v>68</v>
      </c>
      <c r="C47" s="15">
        <v>8095.0769999999993</v>
      </c>
      <c r="D47" s="15">
        <v>4189.1000000000004</v>
      </c>
      <c r="E47" s="15">
        <v>3879.4</v>
      </c>
      <c r="F47" s="33">
        <f t="shared" si="0"/>
        <v>0.92607003891050577</v>
      </c>
      <c r="G47" s="43">
        <v>3062.5244699999998</v>
      </c>
      <c r="H47" s="33">
        <f t="shared" si="3"/>
        <v>1.2667327356897822</v>
      </c>
      <c r="I47" s="15">
        <f t="shared" si="4"/>
        <v>816.87553000000025</v>
      </c>
      <c r="J47" s="15">
        <v>821.2</v>
      </c>
      <c r="K47" s="16">
        <f>114.75119+706.44881</f>
        <v>821.19999999999993</v>
      </c>
      <c r="L47" s="15">
        <f>262.55173+74.75119</f>
        <v>337.30292000000003</v>
      </c>
      <c r="M47" s="33">
        <f t="shared" si="1"/>
        <v>0.4107439357038481</v>
      </c>
      <c r="N47" s="15">
        <v>396.38504999999998</v>
      </c>
      <c r="O47" s="16">
        <f t="shared" ref="O47:O52" si="10">L47-N47</f>
        <v>-59.08212999999995</v>
      </c>
      <c r="Q47" s="13">
        <f t="shared" si="2"/>
        <v>0</v>
      </c>
    </row>
    <row r="48" spans="1:17" ht="22.5" customHeight="1" x14ac:dyDescent="0.2">
      <c r="A48" s="14" t="s">
        <v>69</v>
      </c>
      <c r="B48" s="17" t="s">
        <v>70</v>
      </c>
      <c r="C48" s="15">
        <v>4509.0779999999995</v>
      </c>
      <c r="D48" s="15">
        <v>2300.6999999999998</v>
      </c>
      <c r="E48" s="15">
        <v>2071.1</v>
      </c>
      <c r="F48" s="33">
        <f t="shared" si="0"/>
        <v>0.90020428565219279</v>
      </c>
      <c r="G48" s="43">
        <v>1394.8312599999999</v>
      </c>
      <c r="H48" s="33">
        <f t="shared" si="3"/>
        <v>1.4848391051975707</v>
      </c>
      <c r="I48" s="15">
        <f t="shared" si="4"/>
        <v>676.26873999999998</v>
      </c>
      <c r="J48" s="15">
        <v>181</v>
      </c>
      <c r="K48" s="16">
        <f>275.53032+117.417</f>
        <v>392.94731999999999</v>
      </c>
      <c r="L48" s="15">
        <f>145.30232+47.417</f>
        <v>192.71932000000001</v>
      </c>
      <c r="M48" s="33">
        <f t="shared" si="1"/>
        <v>0.49044569129520976</v>
      </c>
      <c r="N48" s="15">
        <v>76.286590000000004</v>
      </c>
      <c r="O48" s="16">
        <f t="shared" si="10"/>
        <v>116.43273000000001</v>
      </c>
      <c r="Q48" s="13">
        <f t="shared" si="2"/>
        <v>-211.94731999999999</v>
      </c>
    </row>
    <row r="49" spans="1:17" s="5" customFormat="1" ht="18" customHeight="1" x14ac:dyDescent="0.2">
      <c r="A49" s="14" t="s">
        <v>129</v>
      </c>
      <c r="B49" s="17" t="s">
        <v>130</v>
      </c>
      <c r="C49" s="15"/>
      <c r="D49" s="15"/>
      <c r="E49" s="15"/>
      <c r="F49" s="33"/>
      <c r="G49" s="43"/>
      <c r="H49" s="33"/>
      <c r="I49" s="15"/>
      <c r="J49" s="15">
        <v>8600</v>
      </c>
      <c r="K49" s="50">
        <f>7921.44659+960.54841</f>
        <v>8881.994999999999</v>
      </c>
      <c r="L49" s="15">
        <f>2082.6215+960.54841</f>
        <v>3043.1699100000001</v>
      </c>
      <c r="M49" s="33">
        <f t="shared" si="1"/>
        <v>0.34262233991349922</v>
      </c>
      <c r="N49" s="15">
        <v>2891.4781899999998</v>
      </c>
      <c r="O49" s="16">
        <f t="shared" si="10"/>
        <v>151.69172000000026</v>
      </c>
      <c r="Q49" s="13">
        <f t="shared" si="2"/>
        <v>-281.99499999999898</v>
      </c>
    </row>
    <row r="50" spans="1:17" ht="33.75" customHeight="1" x14ac:dyDescent="0.2">
      <c r="A50" s="14" t="s">
        <v>71</v>
      </c>
      <c r="B50" s="17" t="s">
        <v>72</v>
      </c>
      <c r="C50" s="15">
        <v>8022.8350000000009</v>
      </c>
      <c r="D50" s="15">
        <v>4359.8999999999996</v>
      </c>
      <c r="E50" s="15">
        <v>3570.7</v>
      </c>
      <c r="F50" s="33">
        <f t="shared" si="0"/>
        <v>0.81898667400628455</v>
      </c>
      <c r="G50" s="43">
        <v>2889.74775</v>
      </c>
      <c r="H50" s="33">
        <f t="shared" si="3"/>
        <v>1.235644183821927</v>
      </c>
      <c r="I50" s="15">
        <f t="shared" si="4"/>
        <v>680.95224999999982</v>
      </c>
      <c r="J50" s="15">
        <v>460.2</v>
      </c>
      <c r="K50" s="16">
        <f>12.717+453.227</f>
        <v>465.94399999999996</v>
      </c>
      <c r="L50" s="15">
        <f>11.77371+12.717</f>
        <v>24.49071</v>
      </c>
      <c r="M50" s="33">
        <f t="shared" si="1"/>
        <v>5.2561488075820277E-2</v>
      </c>
      <c r="N50" s="15">
        <v>53.505000000000003</v>
      </c>
      <c r="O50" s="16">
        <f t="shared" si="10"/>
        <v>-29.014290000000003</v>
      </c>
      <c r="Q50" s="13">
        <f t="shared" si="2"/>
        <v>-5.7439999999999714</v>
      </c>
    </row>
    <row r="51" spans="1:17" ht="34.5" customHeight="1" x14ac:dyDescent="0.2">
      <c r="A51" s="14" t="s">
        <v>73</v>
      </c>
      <c r="B51" s="17" t="s">
        <v>74</v>
      </c>
      <c r="C51" s="15">
        <v>514.40159999999992</v>
      </c>
      <c r="D51" s="15">
        <v>514.40160000000003</v>
      </c>
      <c r="E51" s="15">
        <v>514.40160000000003</v>
      </c>
      <c r="F51" s="33">
        <f t="shared" si="0"/>
        <v>1</v>
      </c>
      <c r="G51" s="43">
        <v>768.43902000000003</v>
      </c>
      <c r="H51" s="33">
        <f t="shared" si="3"/>
        <v>0.66941108742760103</v>
      </c>
      <c r="I51" s="15">
        <f t="shared" si="4"/>
        <v>-254.03742</v>
      </c>
      <c r="J51" s="16"/>
      <c r="K51" s="16"/>
      <c r="L51" s="16"/>
      <c r="M51" s="33">
        <v>0</v>
      </c>
      <c r="N51" s="15"/>
      <c r="O51" s="16">
        <f t="shared" si="10"/>
        <v>0</v>
      </c>
      <c r="Q51" s="13">
        <f t="shared" si="2"/>
        <v>0</v>
      </c>
    </row>
    <row r="52" spans="1:17" ht="22.5" customHeight="1" x14ac:dyDescent="0.2">
      <c r="A52" s="14" t="s">
        <v>75</v>
      </c>
      <c r="B52" s="17" t="s">
        <v>76</v>
      </c>
      <c r="C52" s="15">
        <v>1950</v>
      </c>
      <c r="D52" s="15">
        <v>1306.8</v>
      </c>
      <c r="E52" s="15">
        <v>614.9</v>
      </c>
      <c r="F52" s="33">
        <f t="shared" si="0"/>
        <v>0.47053872053872053</v>
      </c>
      <c r="G52" s="43">
        <v>732.24550999999997</v>
      </c>
      <c r="H52" s="33">
        <f t="shared" si="3"/>
        <v>0.83974567491714636</v>
      </c>
      <c r="I52" s="15">
        <f t="shared" si="4"/>
        <v>-117.34550999999999</v>
      </c>
      <c r="J52" s="15">
        <v>50</v>
      </c>
      <c r="K52" s="16">
        <v>50</v>
      </c>
      <c r="L52" s="16">
        <v>0</v>
      </c>
      <c r="M52" s="33">
        <f t="shared" si="1"/>
        <v>0</v>
      </c>
      <c r="N52" s="15">
        <v>309.17200000000003</v>
      </c>
      <c r="O52" s="16">
        <f t="shared" si="10"/>
        <v>-309.17200000000003</v>
      </c>
      <c r="Q52" s="13">
        <f t="shared" si="2"/>
        <v>0</v>
      </c>
    </row>
    <row r="53" spans="1:17" ht="21.75" customHeight="1" x14ac:dyDescent="0.2">
      <c r="A53" s="29" t="s">
        <v>77</v>
      </c>
      <c r="B53" s="30" t="s">
        <v>78</v>
      </c>
      <c r="C53" s="31">
        <f>SUM(C54:C58)</f>
        <v>12480.6</v>
      </c>
      <c r="D53" s="31">
        <f t="shared" ref="D53:O53" si="11">SUM(D54:D58)</f>
        <v>8326.9000000000015</v>
      </c>
      <c r="E53" s="31">
        <f t="shared" si="11"/>
        <v>6689</v>
      </c>
      <c r="F53" s="32">
        <f t="shared" si="0"/>
        <v>0.80330014771403513</v>
      </c>
      <c r="G53" s="31">
        <f t="shared" si="11"/>
        <v>2993.4599800000001</v>
      </c>
      <c r="H53" s="32">
        <f t="shared" si="3"/>
        <v>2.2345379743476643</v>
      </c>
      <c r="I53" s="31">
        <f t="shared" si="4"/>
        <v>3695.5400199999999</v>
      </c>
      <c r="J53" s="31">
        <f t="shared" si="11"/>
        <v>880.57</v>
      </c>
      <c r="K53" s="31">
        <f t="shared" si="11"/>
        <v>880.57</v>
      </c>
      <c r="L53" s="31">
        <f t="shared" si="11"/>
        <v>236.78495000000001</v>
      </c>
      <c r="M53" s="32">
        <f t="shared" si="1"/>
        <v>0.26889963319213689</v>
      </c>
      <c r="N53" s="31">
        <f t="shared" si="11"/>
        <v>157.55703</v>
      </c>
      <c r="O53" s="31">
        <f t="shared" si="11"/>
        <v>79.227920000000026</v>
      </c>
      <c r="Q53" s="13">
        <f t="shared" si="2"/>
        <v>0</v>
      </c>
    </row>
    <row r="54" spans="1:17" ht="33.75" customHeight="1" x14ac:dyDescent="0.2">
      <c r="A54" s="14" t="s">
        <v>79</v>
      </c>
      <c r="B54" s="17" t="s">
        <v>80</v>
      </c>
      <c r="C54" s="15">
        <v>669.2</v>
      </c>
      <c r="D54" s="15">
        <v>486.3</v>
      </c>
      <c r="E54" s="15">
        <v>387.2</v>
      </c>
      <c r="F54" s="33">
        <f t="shared" si="0"/>
        <v>0.79621632736993619</v>
      </c>
      <c r="G54" s="43">
        <v>131.8485</v>
      </c>
      <c r="H54" s="33">
        <f t="shared" si="3"/>
        <v>2.936703868455083</v>
      </c>
      <c r="I54" s="15">
        <f t="shared" si="4"/>
        <v>255.35149999999999</v>
      </c>
      <c r="J54" s="16"/>
      <c r="K54" s="16"/>
      <c r="L54" s="16"/>
      <c r="M54" s="33">
        <v>0</v>
      </c>
      <c r="N54" s="16"/>
      <c r="O54" s="16">
        <f>L54-N54</f>
        <v>0</v>
      </c>
      <c r="Q54" s="13">
        <f t="shared" si="2"/>
        <v>0</v>
      </c>
    </row>
    <row r="55" spans="1:17" ht="34.5" customHeight="1" x14ac:dyDescent="0.2">
      <c r="A55" s="14" t="s">
        <v>81</v>
      </c>
      <c r="B55" s="17" t="s">
        <v>82</v>
      </c>
      <c r="C55" s="15">
        <v>243.4</v>
      </c>
      <c r="D55" s="15">
        <v>130</v>
      </c>
      <c r="E55" s="15">
        <v>58.4</v>
      </c>
      <c r="F55" s="33">
        <f t="shared" si="0"/>
        <v>0.44923076923076921</v>
      </c>
      <c r="G55" s="43">
        <v>15.48</v>
      </c>
      <c r="H55" s="33">
        <f t="shared" si="3"/>
        <v>3.7726098191214468</v>
      </c>
      <c r="I55" s="15">
        <f t="shared" si="4"/>
        <v>42.92</v>
      </c>
      <c r="J55" s="16"/>
      <c r="K55" s="16"/>
      <c r="L55" s="16"/>
      <c r="M55" s="33">
        <v>0</v>
      </c>
      <c r="N55" s="16"/>
      <c r="O55" s="16">
        <f>L55-N55</f>
        <v>0</v>
      </c>
      <c r="Q55" s="13">
        <f t="shared" si="2"/>
        <v>0</v>
      </c>
    </row>
    <row r="56" spans="1:17" ht="36.75" customHeight="1" x14ac:dyDescent="0.2">
      <c r="A56" s="14" t="s">
        <v>83</v>
      </c>
      <c r="B56" s="17" t="s">
        <v>84</v>
      </c>
      <c r="C56" s="15">
        <v>11178</v>
      </c>
      <c r="D56" s="15">
        <v>7500.6</v>
      </c>
      <c r="E56" s="15">
        <v>6081.4</v>
      </c>
      <c r="F56" s="33">
        <f t="shared" si="0"/>
        <v>0.81078847025571277</v>
      </c>
      <c r="G56" s="43">
        <v>2756.13148</v>
      </c>
      <c r="H56" s="33">
        <f t="shared" si="3"/>
        <v>2.2064985085544611</v>
      </c>
      <c r="I56" s="15">
        <f t="shared" si="4"/>
        <v>3325.2685199999996</v>
      </c>
      <c r="J56" s="15">
        <v>880.57</v>
      </c>
      <c r="K56" s="16">
        <v>880.57</v>
      </c>
      <c r="L56" s="15">
        <v>236.78495000000001</v>
      </c>
      <c r="M56" s="33">
        <f t="shared" si="1"/>
        <v>0.26889963319213689</v>
      </c>
      <c r="N56" s="16">
        <v>51.67689</v>
      </c>
      <c r="O56" s="16">
        <f>L56-N56</f>
        <v>185.10806000000002</v>
      </c>
      <c r="Q56" s="13">
        <f t="shared" si="2"/>
        <v>0</v>
      </c>
    </row>
    <row r="57" spans="1:17" s="12" customFormat="1" ht="36.75" customHeight="1" x14ac:dyDescent="0.2">
      <c r="A57" s="14">
        <v>5045</v>
      </c>
      <c r="B57" s="17" t="s">
        <v>177</v>
      </c>
      <c r="C57" s="15"/>
      <c r="D57" s="15"/>
      <c r="E57" s="15"/>
      <c r="F57" s="33"/>
      <c r="G57" s="43"/>
      <c r="H57" s="33"/>
      <c r="I57" s="15"/>
      <c r="J57" s="15"/>
      <c r="K57" s="16"/>
      <c r="L57" s="15"/>
      <c r="M57" s="33"/>
      <c r="N57" s="16">
        <v>105.88014</v>
      </c>
      <c r="O57" s="16">
        <f>L57-N57</f>
        <v>-105.88014</v>
      </c>
      <c r="Q57" s="13"/>
    </row>
    <row r="58" spans="1:17" ht="44.25" customHeight="1" x14ac:dyDescent="0.2">
      <c r="A58" s="14" t="s">
        <v>85</v>
      </c>
      <c r="B58" s="17" t="s">
        <v>86</v>
      </c>
      <c r="C58" s="15">
        <v>390</v>
      </c>
      <c r="D58" s="15">
        <v>210</v>
      </c>
      <c r="E58" s="15">
        <v>162</v>
      </c>
      <c r="F58" s="33">
        <f t="shared" si="0"/>
        <v>0.77142857142857146</v>
      </c>
      <c r="G58" s="43">
        <v>90</v>
      </c>
      <c r="H58" s="33">
        <f t="shared" si="3"/>
        <v>1.8</v>
      </c>
      <c r="I58" s="15">
        <f t="shared" si="4"/>
        <v>72</v>
      </c>
      <c r="J58" s="16"/>
      <c r="K58" s="16"/>
      <c r="L58" s="16"/>
      <c r="M58" s="33">
        <v>0</v>
      </c>
      <c r="N58" s="16"/>
      <c r="O58" s="16">
        <f>L58-N58</f>
        <v>0</v>
      </c>
      <c r="Q58" s="13">
        <f t="shared" si="2"/>
        <v>0</v>
      </c>
    </row>
    <row r="59" spans="1:17" ht="23.25" customHeight="1" x14ac:dyDescent="0.2">
      <c r="A59" s="29" t="s">
        <v>87</v>
      </c>
      <c r="B59" s="30" t="s">
        <v>88</v>
      </c>
      <c r="C59" s="31">
        <f>SUM(C60:C64)</f>
        <v>107547.29999999999</v>
      </c>
      <c r="D59" s="31">
        <f t="shared" ref="D59:O59" si="12">SUM(D60:D64)</f>
        <v>57548.4</v>
      </c>
      <c r="E59" s="31">
        <f t="shared" si="12"/>
        <v>51317.8</v>
      </c>
      <c r="F59" s="32">
        <f t="shared" si="0"/>
        <v>0.89173287180877314</v>
      </c>
      <c r="G59" s="31">
        <f t="shared" si="12"/>
        <v>54076.871220000001</v>
      </c>
      <c r="H59" s="32">
        <f t="shared" si="3"/>
        <v>0.94897871940898137</v>
      </c>
      <c r="I59" s="31">
        <f t="shared" si="4"/>
        <v>-2759.071219999998</v>
      </c>
      <c r="J59" s="31">
        <f t="shared" si="12"/>
        <v>29255.246999999996</v>
      </c>
      <c r="K59" s="31">
        <f t="shared" si="12"/>
        <v>29255.246999999996</v>
      </c>
      <c r="L59" s="31">
        <f t="shared" si="12"/>
        <v>10191.08337</v>
      </c>
      <c r="M59" s="32">
        <f t="shared" si="1"/>
        <v>0.34835061792505123</v>
      </c>
      <c r="N59" s="31">
        <f t="shared" si="12"/>
        <v>11051.63883</v>
      </c>
      <c r="O59" s="31">
        <f t="shared" si="12"/>
        <v>-860.55546000000095</v>
      </c>
      <c r="Q59" s="13">
        <f t="shared" si="2"/>
        <v>0</v>
      </c>
    </row>
    <row r="60" spans="1:17" ht="32.25" customHeight="1" x14ac:dyDescent="0.2">
      <c r="A60" s="14" t="s">
        <v>89</v>
      </c>
      <c r="B60" s="17" t="s">
        <v>90</v>
      </c>
      <c r="C60" s="15">
        <v>15231</v>
      </c>
      <c r="D60" s="15">
        <v>12111</v>
      </c>
      <c r="E60" s="15">
        <v>8141</v>
      </c>
      <c r="F60" s="33">
        <f t="shared" si="0"/>
        <v>0.67219882751217896</v>
      </c>
      <c r="G60" s="43">
        <v>17788.650000000001</v>
      </c>
      <c r="H60" s="33">
        <f t="shared" si="3"/>
        <v>0.45765136758551095</v>
      </c>
      <c r="I60" s="15">
        <f t="shared" si="4"/>
        <v>-9647.6500000000015</v>
      </c>
      <c r="J60" s="15">
        <v>4184.0379999999996</v>
      </c>
      <c r="K60" s="16">
        <v>4184.0379999999996</v>
      </c>
      <c r="L60" s="16">
        <v>1373.7599299999999</v>
      </c>
      <c r="M60" s="33">
        <f t="shared" si="1"/>
        <v>0.32833352134947152</v>
      </c>
      <c r="N60" s="16">
        <v>259.2</v>
      </c>
      <c r="O60" s="16">
        <f>L60-N60</f>
        <v>1114.5599299999999</v>
      </c>
      <c r="Q60" s="13">
        <f t="shared" si="2"/>
        <v>0</v>
      </c>
    </row>
    <row r="61" spans="1:17" s="6" customFormat="1" ht="22.5" customHeight="1" x14ac:dyDescent="0.2">
      <c r="A61" s="14" t="s">
        <v>131</v>
      </c>
      <c r="B61" s="17" t="s">
        <v>132</v>
      </c>
      <c r="C61" s="15"/>
      <c r="D61" s="15"/>
      <c r="E61" s="15"/>
      <c r="F61" s="33"/>
      <c r="G61" s="40"/>
      <c r="H61" s="33"/>
      <c r="I61" s="15"/>
      <c r="J61" s="15">
        <v>137.70000000000002</v>
      </c>
      <c r="K61" s="16">
        <v>137.69999999999999</v>
      </c>
      <c r="L61" s="16">
        <v>137.69999999999999</v>
      </c>
      <c r="M61" s="33">
        <f t="shared" si="1"/>
        <v>1</v>
      </c>
      <c r="N61" s="15">
        <v>49.024000000000001</v>
      </c>
      <c r="O61" s="16">
        <f>L61-N61</f>
        <v>88.675999999999988</v>
      </c>
      <c r="Q61" s="13">
        <f t="shared" si="2"/>
        <v>0</v>
      </c>
    </row>
    <row r="62" spans="1:17" ht="24.75" customHeight="1" x14ac:dyDescent="0.2">
      <c r="A62" s="14" t="s">
        <v>91</v>
      </c>
      <c r="B62" s="17" t="s">
        <v>92</v>
      </c>
      <c r="C62" s="15">
        <v>89921.4</v>
      </c>
      <c r="D62" s="15">
        <v>43942.1</v>
      </c>
      <c r="E62" s="15">
        <v>41914.1</v>
      </c>
      <c r="F62" s="33">
        <f t="shared" si="0"/>
        <v>0.95384835954585689</v>
      </c>
      <c r="G62" s="43">
        <v>35115.42052</v>
      </c>
      <c r="H62" s="33">
        <f t="shared" si="3"/>
        <v>1.1936095134081566</v>
      </c>
      <c r="I62" s="15">
        <f t="shared" si="4"/>
        <v>6798.6794799999989</v>
      </c>
      <c r="J62" s="15">
        <f>15046.614+3225.52</f>
        <v>18272.133999999998</v>
      </c>
      <c r="K62" s="16">
        <f>15046.614+3225.52</f>
        <v>18272.133999999998</v>
      </c>
      <c r="L62" s="15">
        <f>3975.6796+49.644</f>
        <v>4025.3235999999997</v>
      </c>
      <c r="M62" s="33">
        <f t="shared" si="1"/>
        <v>0.22029849387050249</v>
      </c>
      <c r="N62" s="16">
        <v>8010.6848300000001</v>
      </c>
      <c r="O62" s="16">
        <f>L62-N62</f>
        <v>-3985.3612300000004</v>
      </c>
      <c r="Q62" s="13">
        <f t="shared" si="2"/>
        <v>0</v>
      </c>
    </row>
    <row r="63" spans="1:17" ht="90" customHeight="1" x14ac:dyDescent="0.2">
      <c r="A63" s="14" t="s">
        <v>93</v>
      </c>
      <c r="B63" s="17" t="s">
        <v>161</v>
      </c>
      <c r="C63" s="15">
        <v>1200</v>
      </c>
      <c r="D63" s="15">
        <v>550.4</v>
      </c>
      <c r="E63" s="15">
        <v>550.4</v>
      </c>
      <c r="F63" s="33">
        <f t="shared" si="0"/>
        <v>1</v>
      </c>
      <c r="G63" s="43">
        <v>517.99194999999997</v>
      </c>
      <c r="H63" s="33">
        <f t="shared" si="3"/>
        <v>1.0625647753792313</v>
      </c>
      <c r="I63" s="15">
        <f t="shared" si="4"/>
        <v>32.408050000000003</v>
      </c>
      <c r="J63" s="15"/>
      <c r="K63" s="16"/>
      <c r="L63" s="16"/>
      <c r="M63" s="33">
        <v>0</v>
      </c>
      <c r="N63" s="16"/>
      <c r="O63" s="16">
        <f>L63-N63</f>
        <v>0</v>
      </c>
      <c r="Q63" s="13">
        <f t="shared" si="2"/>
        <v>0</v>
      </c>
    </row>
    <row r="64" spans="1:17" ht="31.5" customHeight="1" x14ac:dyDescent="0.2">
      <c r="A64" s="14" t="s">
        <v>94</v>
      </c>
      <c r="B64" s="17" t="s">
        <v>95</v>
      </c>
      <c r="C64" s="15">
        <v>1194.9000000000001</v>
      </c>
      <c r="D64" s="15">
        <v>944.9</v>
      </c>
      <c r="E64" s="15">
        <v>712.3</v>
      </c>
      <c r="F64" s="33">
        <f t="shared" si="0"/>
        <v>0.7538363848026246</v>
      </c>
      <c r="G64" s="43">
        <v>654.80875000000003</v>
      </c>
      <c r="H64" s="33">
        <f t="shared" si="3"/>
        <v>1.0877985365956089</v>
      </c>
      <c r="I64" s="15">
        <f t="shared" si="4"/>
        <v>57.491249999999923</v>
      </c>
      <c r="J64" s="15">
        <v>6661.375</v>
      </c>
      <c r="K64" s="16">
        <v>6661.375</v>
      </c>
      <c r="L64" s="15">
        <v>4654.2998399999997</v>
      </c>
      <c r="M64" s="33">
        <f t="shared" si="1"/>
        <v>0.69869956878272121</v>
      </c>
      <c r="N64" s="15">
        <v>2732.73</v>
      </c>
      <c r="O64" s="16">
        <f>L64-N64</f>
        <v>1921.5698399999997</v>
      </c>
      <c r="Q64" s="13">
        <f t="shared" si="2"/>
        <v>0</v>
      </c>
    </row>
    <row r="65" spans="1:17" ht="21.75" customHeight="1" x14ac:dyDescent="0.2">
      <c r="A65" s="29" t="s">
        <v>96</v>
      </c>
      <c r="B65" s="30" t="s">
        <v>97</v>
      </c>
      <c r="C65" s="31">
        <f>SUM(C66:C82)</f>
        <v>32475.100000000002</v>
      </c>
      <c r="D65" s="31">
        <f>SUM(D66:D82)</f>
        <v>12317.2</v>
      </c>
      <c r="E65" s="31">
        <f>SUM(E66:E82)</f>
        <v>11813.1</v>
      </c>
      <c r="F65" s="32">
        <f t="shared" si="0"/>
        <v>0.9590734907284123</v>
      </c>
      <c r="G65" s="31">
        <f>SUM(G66:G82)</f>
        <v>7414.8972300000005</v>
      </c>
      <c r="H65" s="32">
        <f t="shared" si="3"/>
        <v>1.5931576168318653</v>
      </c>
      <c r="I65" s="31">
        <f t="shared" si="4"/>
        <v>4398.2027699999999</v>
      </c>
      <c r="J65" s="31">
        <f>SUM(J66:J82)</f>
        <v>143667.361</v>
      </c>
      <c r="K65" s="31">
        <f>SUM(K66:K82)</f>
        <v>143667.361</v>
      </c>
      <c r="L65" s="31">
        <f>SUM(L66:L82)</f>
        <v>43051.525189999993</v>
      </c>
      <c r="M65" s="32">
        <f t="shared" si="1"/>
        <v>0.29966114008316747</v>
      </c>
      <c r="N65" s="31">
        <f>SUM(N66:N82)</f>
        <v>53807.997799999997</v>
      </c>
      <c r="O65" s="31">
        <f>SUM(O66:O82)</f>
        <v>-10756.472609999997</v>
      </c>
      <c r="Q65" s="13">
        <f t="shared" si="2"/>
        <v>0</v>
      </c>
    </row>
    <row r="66" spans="1:17" ht="18" customHeight="1" x14ac:dyDescent="0.2">
      <c r="A66" s="14" t="s">
        <v>98</v>
      </c>
      <c r="B66" s="17" t="s">
        <v>99</v>
      </c>
      <c r="C66" s="15">
        <v>479</v>
      </c>
      <c r="D66" s="15">
        <v>133.69999999999999</v>
      </c>
      <c r="E66" s="15">
        <v>0</v>
      </c>
      <c r="F66" s="33">
        <v>0</v>
      </c>
      <c r="G66" s="43">
        <v>87.488609999999994</v>
      </c>
      <c r="H66" s="33">
        <v>0</v>
      </c>
      <c r="I66" s="15">
        <f t="shared" si="4"/>
        <v>-87.488609999999994</v>
      </c>
      <c r="J66" s="15"/>
      <c r="K66" s="16"/>
      <c r="L66" s="16"/>
      <c r="M66" s="33">
        <v>0</v>
      </c>
      <c r="N66" s="16"/>
      <c r="O66" s="16">
        <f t="shared" ref="O66:O82" si="13">L66-N66</f>
        <v>0</v>
      </c>
      <c r="Q66" s="13">
        <f t="shared" si="2"/>
        <v>0</v>
      </c>
    </row>
    <row r="67" spans="1:17" s="7" customFormat="1" ht="22.5" customHeight="1" x14ac:dyDescent="0.2">
      <c r="A67" s="14" t="s">
        <v>133</v>
      </c>
      <c r="B67" s="17" t="s">
        <v>141</v>
      </c>
      <c r="C67" s="15"/>
      <c r="D67" s="15"/>
      <c r="E67" s="15"/>
      <c r="F67" s="33"/>
      <c r="G67" s="40"/>
      <c r="H67" s="33"/>
      <c r="I67" s="15"/>
      <c r="J67" s="15">
        <f>13050.304+766.703</f>
        <v>13817.007</v>
      </c>
      <c r="K67" s="15">
        <f>13050.304+766.703</f>
        <v>13817.007</v>
      </c>
      <c r="L67" s="15">
        <f>5310.57017+4.566</f>
        <v>5315.1361699999998</v>
      </c>
      <c r="M67" s="33">
        <f t="shared" si="1"/>
        <v>0.38468071775602342</v>
      </c>
      <c r="N67" s="15">
        <v>6383.3742199999997</v>
      </c>
      <c r="O67" s="16">
        <f t="shared" si="13"/>
        <v>-1068.2380499999999</v>
      </c>
      <c r="Q67" s="13">
        <f t="shared" si="2"/>
        <v>0</v>
      </c>
    </row>
    <row r="68" spans="1:17" s="7" customFormat="1" ht="21.75" customHeight="1" x14ac:dyDescent="0.2">
      <c r="A68" s="14" t="s">
        <v>134</v>
      </c>
      <c r="B68" s="17" t="s">
        <v>142</v>
      </c>
      <c r="C68" s="15"/>
      <c r="D68" s="15"/>
      <c r="E68" s="15"/>
      <c r="F68" s="33"/>
      <c r="G68" s="40"/>
      <c r="H68" s="33"/>
      <c r="I68" s="15"/>
      <c r="J68" s="15">
        <v>35157.142999999996</v>
      </c>
      <c r="K68" s="15">
        <v>35157.142999999996</v>
      </c>
      <c r="L68" s="15">
        <v>1782.2202500000001</v>
      </c>
      <c r="M68" s="33">
        <f t="shared" si="1"/>
        <v>5.0692977242206519E-2</v>
      </c>
      <c r="N68" s="15">
        <v>4073.4980799999998</v>
      </c>
      <c r="O68" s="16">
        <f t="shared" si="13"/>
        <v>-2291.27783</v>
      </c>
      <c r="Q68" s="13">
        <f t="shared" si="2"/>
        <v>0</v>
      </c>
    </row>
    <row r="69" spans="1:17" s="7" customFormat="1" ht="18" customHeight="1" x14ac:dyDescent="0.2">
      <c r="A69" s="14" t="s">
        <v>135</v>
      </c>
      <c r="B69" s="17" t="s">
        <v>143</v>
      </c>
      <c r="C69" s="15"/>
      <c r="D69" s="15"/>
      <c r="E69" s="15"/>
      <c r="F69" s="33"/>
      <c r="G69" s="40"/>
      <c r="H69" s="33"/>
      <c r="I69" s="15"/>
      <c r="J69" s="15">
        <v>8399.7939999999999</v>
      </c>
      <c r="K69" s="16">
        <v>8399.7939999999999</v>
      </c>
      <c r="L69" s="15">
        <v>4476.5393100000001</v>
      </c>
      <c r="M69" s="33">
        <f t="shared" si="1"/>
        <v>0.53293441601067837</v>
      </c>
      <c r="N69" s="15">
        <v>19486.95897</v>
      </c>
      <c r="O69" s="16">
        <f t="shared" si="13"/>
        <v>-15010.41966</v>
      </c>
      <c r="Q69" s="13">
        <f t="shared" si="2"/>
        <v>0</v>
      </c>
    </row>
    <row r="70" spans="1:17" s="7" customFormat="1" ht="23.25" customHeight="1" x14ac:dyDescent="0.2">
      <c r="A70" s="14" t="s">
        <v>136</v>
      </c>
      <c r="B70" s="17" t="s">
        <v>144</v>
      </c>
      <c r="C70" s="15"/>
      <c r="D70" s="15"/>
      <c r="E70" s="15"/>
      <c r="F70" s="33"/>
      <c r="G70" s="40"/>
      <c r="H70" s="33"/>
      <c r="I70" s="15"/>
      <c r="J70" s="15">
        <v>2542</v>
      </c>
      <c r="K70" s="16">
        <f>2542</f>
        <v>2542</v>
      </c>
      <c r="L70" s="15">
        <v>10.442</v>
      </c>
      <c r="M70" s="33">
        <f t="shared" si="1"/>
        <v>4.1077891424075533E-3</v>
      </c>
      <c r="N70" s="15">
        <v>5932.5452999999998</v>
      </c>
      <c r="O70" s="16">
        <f t="shared" si="13"/>
        <v>-5922.1032999999998</v>
      </c>
      <c r="Q70" s="13">
        <f t="shared" si="2"/>
        <v>0</v>
      </c>
    </row>
    <row r="71" spans="1:17" s="7" customFormat="1" ht="32.25" customHeight="1" x14ac:dyDescent="0.2">
      <c r="A71" s="14" t="s">
        <v>137</v>
      </c>
      <c r="B71" s="17" t="s">
        <v>145</v>
      </c>
      <c r="C71" s="15"/>
      <c r="D71" s="15"/>
      <c r="E71" s="15"/>
      <c r="F71" s="33"/>
      <c r="G71" s="40"/>
      <c r="H71" s="33"/>
      <c r="I71" s="15"/>
      <c r="J71" s="15">
        <v>30270.397000000001</v>
      </c>
      <c r="K71" s="15">
        <v>30270.397000000001</v>
      </c>
      <c r="L71" s="15">
        <v>21799.984700000001</v>
      </c>
      <c r="M71" s="33">
        <f t="shared" si="1"/>
        <v>0.72017505089213074</v>
      </c>
      <c r="N71" s="15">
        <v>8139.2696400000004</v>
      </c>
      <c r="O71" s="16">
        <f t="shared" si="13"/>
        <v>13660.71506</v>
      </c>
      <c r="Q71" s="13">
        <f t="shared" si="2"/>
        <v>0</v>
      </c>
    </row>
    <row r="72" spans="1:17" s="7" customFormat="1" ht="23.25" customHeight="1" x14ac:dyDescent="0.2">
      <c r="A72" s="14" t="s">
        <v>138</v>
      </c>
      <c r="B72" s="17" t="s">
        <v>146</v>
      </c>
      <c r="C72" s="15"/>
      <c r="D72" s="15"/>
      <c r="E72" s="15"/>
      <c r="F72" s="33"/>
      <c r="G72" s="40"/>
      <c r="H72" s="33"/>
      <c r="I72" s="15"/>
      <c r="J72" s="15">
        <f>2973.528+33697.693</f>
        <v>36671.220999999998</v>
      </c>
      <c r="K72" s="15">
        <f>2973.528+33697.693</f>
        <v>36671.220999999998</v>
      </c>
      <c r="L72" s="15">
        <f>1211.0476+5897.574</f>
        <v>7108.6215999999995</v>
      </c>
      <c r="M72" s="33">
        <f t="shared" si="1"/>
        <v>0.19384742056993412</v>
      </c>
      <c r="N72" s="15">
        <v>7680.4293500000003</v>
      </c>
      <c r="O72" s="16">
        <f t="shared" si="13"/>
        <v>-571.80775000000085</v>
      </c>
      <c r="Q72" s="13">
        <f t="shared" si="2"/>
        <v>0</v>
      </c>
    </row>
    <row r="73" spans="1:17" s="7" customFormat="1" ht="27" customHeight="1" x14ac:dyDescent="0.2">
      <c r="A73" s="14" t="s">
        <v>139</v>
      </c>
      <c r="B73" s="17" t="s">
        <v>147</v>
      </c>
      <c r="C73" s="15"/>
      <c r="D73" s="15"/>
      <c r="E73" s="15"/>
      <c r="F73" s="33"/>
      <c r="G73" s="40"/>
      <c r="H73" s="33"/>
      <c r="I73" s="15"/>
      <c r="J73" s="15">
        <v>760</v>
      </c>
      <c r="K73" s="16">
        <v>760</v>
      </c>
      <c r="L73" s="15">
        <v>0</v>
      </c>
      <c r="M73" s="33">
        <f t="shared" si="1"/>
        <v>0</v>
      </c>
      <c r="N73" s="16"/>
      <c r="O73" s="16">
        <f t="shared" si="13"/>
        <v>0</v>
      </c>
      <c r="Q73" s="13">
        <f t="shared" si="2"/>
        <v>0</v>
      </c>
    </row>
    <row r="74" spans="1:17" s="7" customFormat="1" ht="38.25" customHeight="1" x14ac:dyDescent="0.2">
      <c r="A74" s="14" t="s">
        <v>140</v>
      </c>
      <c r="B74" s="17" t="s">
        <v>148</v>
      </c>
      <c r="C74" s="15"/>
      <c r="D74" s="15"/>
      <c r="E74" s="15"/>
      <c r="F74" s="33"/>
      <c r="G74" s="40"/>
      <c r="H74" s="33"/>
      <c r="I74" s="15"/>
      <c r="J74" s="15">
        <v>1950</v>
      </c>
      <c r="K74" s="16">
        <v>1950</v>
      </c>
      <c r="L74" s="15">
        <v>0</v>
      </c>
      <c r="M74" s="33">
        <f t="shared" si="1"/>
        <v>0</v>
      </c>
      <c r="N74" s="16"/>
      <c r="O74" s="16">
        <f t="shared" si="13"/>
        <v>0</v>
      </c>
      <c r="Q74" s="13">
        <f t="shared" si="2"/>
        <v>0</v>
      </c>
    </row>
    <row r="75" spans="1:17" s="12" customFormat="1" ht="38.25" customHeight="1" x14ac:dyDescent="0.2">
      <c r="A75" s="14">
        <v>7390</v>
      </c>
      <c r="B75" s="17" t="s">
        <v>170</v>
      </c>
      <c r="C75" s="15"/>
      <c r="D75" s="15"/>
      <c r="E75" s="15"/>
      <c r="F75" s="33"/>
      <c r="G75" s="40"/>
      <c r="H75" s="33"/>
      <c r="I75" s="15"/>
      <c r="J75" s="15">
        <v>169.5</v>
      </c>
      <c r="K75" s="15">
        <v>169.5</v>
      </c>
      <c r="L75" s="15">
        <v>0</v>
      </c>
      <c r="M75" s="33">
        <f t="shared" si="1"/>
        <v>0</v>
      </c>
      <c r="N75" s="16"/>
      <c r="O75" s="16">
        <f t="shared" si="13"/>
        <v>0</v>
      </c>
      <c r="Q75" s="13"/>
    </row>
    <row r="76" spans="1:17" ht="40.5" customHeight="1" x14ac:dyDescent="0.2">
      <c r="A76" s="14" t="s">
        <v>100</v>
      </c>
      <c r="B76" s="17" t="s">
        <v>101</v>
      </c>
      <c r="C76" s="15">
        <v>29072.2</v>
      </c>
      <c r="D76" s="15">
        <v>10959.6</v>
      </c>
      <c r="E76" s="15">
        <v>10959.6</v>
      </c>
      <c r="F76" s="33">
        <f t="shared" si="0"/>
        <v>1</v>
      </c>
      <c r="G76" s="43">
        <v>6688.5010199999997</v>
      </c>
      <c r="H76" s="33">
        <f t="shared" si="3"/>
        <v>1.6385734213433671</v>
      </c>
      <c r="I76" s="15">
        <f t="shared" si="4"/>
        <v>4271.0989800000007</v>
      </c>
      <c r="J76" s="15">
        <f>9080.951+280</f>
        <v>9360.9509999999991</v>
      </c>
      <c r="K76" s="15">
        <f>9080.951+280</f>
        <v>9360.9509999999991</v>
      </c>
      <c r="L76" s="16">
        <v>2050.7939200000001</v>
      </c>
      <c r="M76" s="33">
        <f t="shared" si="1"/>
        <v>0.21907965547517558</v>
      </c>
      <c r="N76" s="15">
        <v>2011.48224</v>
      </c>
      <c r="O76" s="16">
        <f t="shared" si="13"/>
        <v>39.311680000000024</v>
      </c>
      <c r="Q76" s="13">
        <f t="shared" si="2"/>
        <v>0</v>
      </c>
    </row>
    <row r="77" spans="1:17" s="8" customFormat="1" ht="24" customHeight="1" x14ac:dyDescent="0.2">
      <c r="A77" s="14" t="s">
        <v>149</v>
      </c>
      <c r="B77" s="17" t="s">
        <v>150</v>
      </c>
      <c r="C77" s="15"/>
      <c r="D77" s="15"/>
      <c r="E77" s="15"/>
      <c r="F77" s="33"/>
      <c r="G77" s="43"/>
      <c r="H77" s="33"/>
      <c r="I77" s="15"/>
      <c r="J77" s="15">
        <v>3202.634</v>
      </c>
      <c r="K77" s="16">
        <v>3202.634</v>
      </c>
      <c r="L77" s="16">
        <v>0</v>
      </c>
      <c r="M77" s="33">
        <f t="shared" si="1"/>
        <v>0</v>
      </c>
      <c r="N77" s="16"/>
      <c r="O77" s="16">
        <f t="shared" si="13"/>
        <v>0</v>
      </c>
      <c r="Q77" s="13">
        <f t="shared" si="2"/>
        <v>0</v>
      </c>
    </row>
    <row r="78" spans="1:17" ht="22.5" customHeight="1" x14ac:dyDescent="0.2">
      <c r="A78" s="14" t="s">
        <v>102</v>
      </c>
      <c r="B78" s="17" t="s">
        <v>103</v>
      </c>
      <c r="C78" s="15">
        <v>850</v>
      </c>
      <c r="D78" s="15">
        <v>190</v>
      </c>
      <c r="E78" s="15">
        <v>0</v>
      </c>
      <c r="F78" s="33">
        <f t="shared" si="0"/>
        <v>0</v>
      </c>
      <c r="G78" s="40"/>
      <c r="H78" s="33">
        <v>0</v>
      </c>
      <c r="I78" s="15">
        <f t="shared" si="4"/>
        <v>0</v>
      </c>
      <c r="J78" s="16"/>
      <c r="K78" s="16"/>
      <c r="L78" s="16"/>
      <c r="M78" s="33">
        <v>0</v>
      </c>
      <c r="N78" s="16"/>
      <c r="O78" s="16">
        <f t="shared" si="13"/>
        <v>0</v>
      </c>
      <c r="Q78" s="13">
        <f t="shared" si="2"/>
        <v>0</v>
      </c>
    </row>
    <row r="79" spans="1:17" s="10" customFormat="1" ht="34.5" customHeight="1" x14ac:dyDescent="0.2">
      <c r="A79" s="14" t="s">
        <v>151</v>
      </c>
      <c r="B79" s="17" t="s">
        <v>152</v>
      </c>
      <c r="C79" s="15"/>
      <c r="D79" s="15"/>
      <c r="E79" s="15"/>
      <c r="F79" s="33"/>
      <c r="G79" s="40"/>
      <c r="H79" s="33"/>
      <c r="I79" s="15"/>
      <c r="J79" s="15">
        <v>300</v>
      </c>
      <c r="K79" s="16">
        <v>300</v>
      </c>
      <c r="L79" s="16">
        <v>29.2</v>
      </c>
      <c r="M79" s="33">
        <f>L79/K79</f>
        <v>9.7333333333333327E-2</v>
      </c>
      <c r="N79" s="16">
        <v>100.44</v>
      </c>
      <c r="O79" s="16">
        <f t="shared" si="13"/>
        <v>-71.239999999999995</v>
      </c>
      <c r="Q79" s="13">
        <f t="shared" si="2"/>
        <v>0</v>
      </c>
    </row>
    <row r="80" spans="1:17" s="12" customFormat="1" ht="22.5" customHeight="1" x14ac:dyDescent="0.2">
      <c r="A80" s="14">
        <v>7680</v>
      </c>
      <c r="B80" s="17" t="s">
        <v>166</v>
      </c>
      <c r="C80" s="15">
        <v>173.9</v>
      </c>
      <c r="D80" s="15">
        <v>173.9</v>
      </c>
      <c r="E80" s="15">
        <v>173.9</v>
      </c>
      <c r="F80" s="33"/>
      <c r="G80" s="40"/>
      <c r="H80" s="33"/>
      <c r="I80" s="15"/>
      <c r="J80" s="16"/>
      <c r="K80" s="16"/>
      <c r="L80" s="16"/>
      <c r="M80" s="33"/>
      <c r="N80" s="16"/>
      <c r="O80" s="16"/>
      <c r="Q80" s="13"/>
    </row>
    <row r="81" spans="1:17" s="9" customFormat="1" ht="73.5" customHeight="1" x14ac:dyDescent="0.2">
      <c r="A81" s="14" t="s">
        <v>153</v>
      </c>
      <c r="B81" s="17" t="s">
        <v>154</v>
      </c>
      <c r="C81" s="15"/>
      <c r="D81" s="15"/>
      <c r="E81" s="15"/>
      <c r="F81" s="33"/>
      <c r="G81" s="40"/>
      <c r="H81" s="33"/>
      <c r="I81" s="15"/>
      <c r="J81" s="15">
        <f>891.714+115+60</f>
        <v>1066.7139999999999</v>
      </c>
      <c r="K81" s="15">
        <f>891.714+115+60</f>
        <v>1066.7139999999999</v>
      </c>
      <c r="L81" s="15">
        <f>428.68724+49.9</f>
        <v>478.58723999999995</v>
      </c>
      <c r="M81" s="33">
        <f>L81/K81</f>
        <v>0.44865562840648943</v>
      </c>
      <c r="N81" s="16"/>
      <c r="O81" s="16">
        <f t="shared" si="13"/>
        <v>478.58723999999995</v>
      </c>
      <c r="Q81" s="13">
        <f t="shared" ref="Q81:Q94" si="14">J81-K81</f>
        <v>0</v>
      </c>
    </row>
    <row r="82" spans="1:17" ht="24" customHeight="1" x14ac:dyDescent="0.2">
      <c r="A82" s="14" t="s">
        <v>104</v>
      </c>
      <c r="B82" s="17" t="s">
        <v>105</v>
      </c>
      <c r="C82" s="15">
        <v>1900</v>
      </c>
      <c r="D82" s="15">
        <v>860</v>
      </c>
      <c r="E82" s="15">
        <v>679.6</v>
      </c>
      <c r="F82" s="33">
        <f t="shared" si="0"/>
        <v>0.79023255813953486</v>
      </c>
      <c r="G82" s="43">
        <v>638.9076</v>
      </c>
      <c r="H82" s="33">
        <f t="shared" si="3"/>
        <v>1.0636905868704645</v>
      </c>
      <c r="I82" s="15">
        <f t="shared" si="4"/>
        <v>40.692400000000021</v>
      </c>
      <c r="J82" s="16"/>
      <c r="K82" s="16"/>
      <c r="L82" s="16"/>
      <c r="M82" s="33">
        <v>0</v>
      </c>
      <c r="N82" s="16"/>
      <c r="O82" s="16">
        <f t="shared" si="13"/>
        <v>0</v>
      </c>
      <c r="Q82" s="13">
        <f t="shared" si="14"/>
        <v>0</v>
      </c>
    </row>
    <row r="83" spans="1:17" ht="23.25" customHeight="1" x14ac:dyDescent="0.2">
      <c r="A83" s="29" t="s">
        <v>106</v>
      </c>
      <c r="B83" s="30" t="s">
        <v>107</v>
      </c>
      <c r="C83" s="31">
        <f>SUM(C84:C88)</f>
        <v>9733.7999999999993</v>
      </c>
      <c r="D83" s="31">
        <f t="shared" ref="D83:O83" si="15">SUM(D84:D88)</f>
        <v>2625.3</v>
      </c>
      <c r="E83" s="31">
        <f t="shared" si="15"/>
        <v>1840.8</v>
      </c>
      <c r="F83" s="32">
        <f t="shared" si="0"/>
        <v>0.70117700834190366</v>
      </c>
      <c r="G83" s="31">
        <f t="shared" si="15"/>
        <v>17.2</v>
      </c>
      <c r="H83" s="32">
        <f t="shared" si="3"/>
        <v>107.02325581395348</v>
      </c>
      <c r="I83" s="31">
        <f t="shared" si="4"/>
        <v>1823.6</v>
      </c>
      <c r="J83" s="31">
        <f t="shared" si="15"/>
        <v>898.30000000000007</v>
      </c>
      <c r="K83" s="31">
        <f>SUM(K84:K90)</f>
        <v>898.34000000000015</v>
      </c>
      <c r="L83" s="31">
        <f t="shared" si="15"/>
        <v>0</v>
      </c>
      <c r="M83" s="32">
        <f>L83/K83</f>
        <v>0</v>
      </c>
      <c r="N83" s="31">
        <f t="shared" si="15"/>
        <v>346.62137999999999</v>
      </c>
      <c r="O83" s="31">
        <f t="shared" si="15"/>
        <v>-346.62137999999999</v>
      </c>
      <c r="Q83" s="13">
        <f t="shared" si="14"/>
        <v>-4.0000000000077307E-2</v>
      </c>
    </row>
    <row r="84" spans="1:17" ht="34.5" customHeight="1" x14ac:dyDescent="0.2">
      <c r="A84" s="14" t="s">
        <v>108</v>
      </c>
      <c r="B84" s="17" t="s">
        <v>109</v>
      </c>
      <c r="C84" s="15">
        <v>240</v>
      </c>
      <c r="D84" s="15">
        <v>220</v>
      </c>
      <c r="E84" s="15">
        <v>18.5</v>
      </c>
      <c r="F84" s="33">
        <f t="shared" si="0"/>
        <v>8.4090909090909091E-2</v>
      </c>
      <c r="G84" s="43">
        <v>17.2</v>
      </c>
      <c r="H84" s="33">
        <f>E84/G84</f>
        <v>1.0755813953488373</v>
      </c>
      <c r="I84" s="15">
        <f t="shared" si="4"/>
        <v>1.3000000000000007</v>
      </c>
      <c r="J84" s="16"/>
      <c r="K84" s="16"/>
      <c r="L84" s="16"/>
      <c r="M84" s="33">
        <v>0</v>
      </c>
      <c r="N84" s="15">
        <v>92.6</v>
      </c>
      <c r="O84" s="16">
        <f t="shared" ref="O84:O90" si="16">L84-N84</f>
        <v>-92.6</v>
      </c>
      <c r="Q84" s="13">
        <f t="shared" si="14"/>
        <v>0</v>
      </c>
    </row>
    <row r="85" spans="1:17" s="11" customFormat="1" ht="27.75" customHeight="1" x14ac:dyDescent="0.2">
      <c r="A85" s="14" t="s">
        <v>155</v>
      </c>
      <c r="B85" s="17" t="s">
        <v>156</v>
      </c>
      <c r="C85" s="15"/>
      <c r="D85" s="15"/>
      <c r="E85" s="15"/>
      <c r="F85" s="33"/>
      <c r="G85" s="40"/>
      <c r="H85" s="33"/>
      <c r="I85" s="15"/>
      <c r="J85" s="15">
        <v>737.7</v>
      </c>
      <c r="K85" s="16">
        <v>737.74</v>
      </c>
      <c r="L85" s="16"/>
      <c r="M85" s="33">
        <f>L85/K85</f>
        <v>0</v>
      </c>
      <c r="N85" s="16">
        <v>254.02137999999999</v>
      </c>
      <c r="O85" s="16">
        <f t="shared" si="16"/>
        <v>-254.02137999999999</v>
      </c>
      <c r="Q85" s="13">
        <f t="shared" si="14"/>
        <v>-3.999999999996362E-2</v>
      </c>
    </row>
    <row r="86" spans="1:17" s="11" customFormat="1" ht="23.25" customHeight="1" x14ac:dyDescent="0.2">
      <c r="A86" s="14" t="s">
        <v>157</v>
      </c>
      <c r="B86" s="17" t="s">
        <v>158</v>
      </c>
      <c r="C86" s="15"/>
      <c r="D86" s="15"/>
      <c r="E86" s="15"/>
      <c r="F86" s="33"/>
      <c r="G86" s="40"/>
      <c r="H86" s="33"/>
      <c r="I86" s="15"/>
      <c r="J86" s="15">
        <v>160.6</v>
      </c>
      <c r="K86" s="16">
        <v>160.6</v>
      </c>
      <c r="L86" s="16"/>
      <c r="M86" s="33">
        <f>L86/K86</f>
        <v>0</v>
      </c>
      <c r="N86" s="16"/>
      <c r="O86" s="16">
        <f t="shared" si="16"/>
        <v>0</v>
      </c>
      <c r="Q86" s="13">
        <f t="shared" si="14"/>
        <v>0</v>
      </c>
    </row>
    <row r="87" spans="1:17" ht="21.75" customHeight="1" x14ac:dyDescent="0.2">
      <c r="A87" s="14" t="s">
        <v>110</v>
      </c>
      <c r="B87" s="17" t="s">
        <v>111</v>
      </c>
      <c r="C87" s="15">
        <v>9393.7999999999993</v>
      </c>
      <c r="D87" s="15">
        <v>2305.3000000000002</v>
      </c>
      <c r="E87" s="15">
        <v>1822.3</v>
      </c>
      <c r="F87" s="33">
        <f t="shared" si="0"/>
        <v>0.7904828005031882</v>
      </c>
      <c r="G87" s="40">
        <v>0</v>
      </c>
      <c r="H87" s="33">
        <v>0</v>
      </c>
      <c r="I87" s="15">
        <f t="shared" si="4"/>
        <v>1822.3</v>
      </c>
      <c r="J87" s="16"/>
      <c r="K87" s="16"/>
      <c r="L87" s="16"/>
      <c r="M87" s="33">
        <v>0</v>
      </c>
      <c r="N87" s="16"/>
      <c r="O87" s="16">
        <f t="shared" si="16"/>
        <v>0</v>
      </c>
      <c r="Q87" s="13">
        <f t="shared" si="14"/>
        <v>0</v>
      </c>
    </row>
    <row r="88" spans="1:17" ht="20.25" customHeight="1" x14ac:dyDescent="0.2">
      <c r="A88" s="14" t="s">
        <v>112</v>
      </c>
      <c r="B88" s="17" t="s">
        <v>113</v>
      </c>
      <c r="C88" s="15">
        <v>100</v>
      </c>
      <c r="D88" s="15">
        <v>100</v>
      </c>
      <c r="E88" s="15">
        <v>0</v>
      </c>
      <c r="F88" s="33">
        <f t="shared" si="0"/>
        <v>0</v>
      </c>
      <c r="G88" s="40">
        <v>0</v>
      </c>
      <c r="H88" s="33">
        <v>0</v>
      </c>
      <c r="I88" s="15">
        <f t="shared" si="4"/>
        <v>0</v>
      </c>
      <c r="J88" s="16"/>
      <c r="K88" s="16"/>
      <c r="L88" s="16"/>
      <c r="M88" s="33">
        <v>0</v>
      </c>
      <c r="N88" s="16"/>
      <c r="O88" s="16">
        <f t="shared" si="16"/>
        <v>0</v>
      </c>
      <c r="Q88" s="13">
        <f t="shared" si="14"/>
        <v>0</v>
      </c>
    </row>
    <row r="89" spans="1:17" s="12" customFormat="1" ht="35.25" customHeight="1" x14ac:dyDescent="0.2">
      <c r="A89" s="14">
        <v>8831</v>
      </c>
      <c r="B89" s="17" t="s">
        <v>162</v>
      </c>
      <c r="C89" s="15"/>
      <c r="D89" s="15"/>
      <c r="E89" s="15"/>
      <c r="F89" s="33"/>
      <c r="G89" s="40"/>
      <c r="H89" s="33"/>
      <c r="I89" s="15"/>
      <c r="J89" s="16">
        <v>73.463999999999999</v>
      </c>
      <c r="K89" s="16">
        <v>73.463999999999999</v>
      </c>
      <c r="L89" s="49"/>
      <c r="M89" s="33">
        <v>0</v>
      </c>
      <c r="N89" s="16"/>
      <c r="O89" s="16">
        <f t="shared" si="16"/>
        <v>0</v>
      </c>
      <c r="Q89" s="13"/>
    </row>
    <row r="90" spans="1:17" s="12" customFormat="1" ht="38.25" customHeight="1" x14ac:dyDescent="0.2">
      <c r="A90" s="14">
        <v>8832</v>
      </c>
      <c r="B90" s="17" t="s">
        <v>163</v>
      </c>
      <c r="C90" s="15"/>
      <c r="D90" s="15"/>
      <c r="E90" s="15"/>
      <c r="F90" s="33"/>
      <c r="G90" s="40"/>
      <c r="H90" s="33"/>
      <c r="I90" s="15"/>
      <c r="J90" s="16">
        <v>-73.463999999999999</v>
      </c>
      <c r="K90" s="16">
        <v>-73.463999999999999</v>
      </c>
      <c r="L90" s="49"/>
      <c r="M90" s="33">
        <v>0</v>
      </c>
      <c r="N90" s="16"/>
      <c r="O90" s="16">
        <f t="shared" si="16"/>
        <v>0</v>
      </c>
      <c r="Q90" s="13">
        <f t="shared" si="14"/>
        <v>0</v>
      </c>
    </row>
    <row r="91" spans="1:17" ht="17.25" customHeight="1" x14ac:dyDescent="0.2">
      <c r="A91" s="29" t="s">
        <v>114</v>
      </c>
      <c r="B91" s="30" t="s">
        <v>115</v>
      </c>
      <c r="C91" s="31">
        <f>SUM(C92)</f>
        <v>28415</v>
      </c>
      <c r="D91" s="31">
        <f t="shared" ref="D91:O91" si="17">SUM(D92)</f>
        <v>14207.4</v>
      </c>
      <c r="E91" s="31">
        <f t="shared" si="17"/>
        <v>14207.4</v>
      </c>
      <c r="F91" s="32">
        <f t="shared" si="0"/>
        <v>1</v>
      </c>
      <c r="G91" s="31">
        <f t="shared" si="17"/>
        <v>21735</v>
      </c>
      <c r="H91" s="32">
        <f t="shared" si="3"/>
        <v>0.65366459627329188</v>
      </c>
      <c r="I91" s="31">
        <f t="shared" si="4"/>
        <v>-7527.6</v>
      </c>
      <c r="J91" s="31">
        <f t="shared" si="17"/>
        <v>0</v>
      </c>
      <c r="K91" s="31">
        <f t="shared" si="17"/>
        <v>0</v>
      </c>
      <c r="L91" s="31">
        <f t="shared" si="17"/>
        <v>0</v>
      </c>
      <c r="M91" s="32">
        <v>0</v>
      </c>
      <c r="N91" s="31">
        <f t="shared" si="17"/>
        <v>0</v>
      </c>
      <c r="O91" s="31">
        <f t="shared" si="17"/>
        <v>0</v>
      </c>
      <c r="Q91" s="13">
        <f t="shared" si="14"/>
        <v>0</v>
      </c>
    </row>
    <row r="92" spans="1:17" ht="29.25" customHeight="1" x14ac:dyDescent="0.2">
      <c r="A92" s="14" t="s">
        <v>116</v>
      </c>
      <c r="B92" s="17" t="s">
        <v>117</v>
      </c>
      <c r="C92" s="15">
        <v>28415</v>
      </c>
      <c r="D92" s="15">
        <v>14207.4</v>
      </c>
      <c r="E92" s="15">
        <v>14207.4</v>
      </c>
      <c r="F92" s="33">
        <f t="shared" si="0"/>
        <v>1</v>
      </c>
      <c r="G92" s="43">
        <v>21735</v>
      </c>
      <c r="H92" s="33">
        <f t="shared" si="3"/>
        <v>0.65366459627329188</v>
      </c>
      <c r="I92" s="15">
        <f t="shared" si="4"/>
        <v>-7527.6</v>
      </c>
      <c r="J92" s="16"/>
      <c r="K92" s="16"/>
      <c r="L92" s="16"/>
      <c r="M92" s="33">
        <v>0</v>
      </c>
      <c r="N92" s="16"/>
      <c r="O92" s="16">
        <f>L92-N92</f>
        <v>0</v>
      </c>
      <c r="Q92" s="13">
        <f t="shared" si="14"/>
        <v>0</v>
      </c>
    </row>
    <row r="93" spans="1:17" s="12" customFormat="1" ht="45" customHeight="1" x14ac:dyDescent="0.2">
      <c r="A93" s="29">
        <v>9800</v>
      </c>
      <c r="B93" s="30" t="s">
        <v>167</v>
      </c>
      <c r="C93" s="35">
        <v>2940</v>
      </c>
      <c r="D93" s="35">
        <v>2940</v>
      </c>
      <c r="E93" s="35">
        <v>2940</v>
      </c>
      <c r="F93" s="36"/>
      <c r="G93" s="35"/>
      <c r="H93" s="36"/>
      <c r="I93" s="35"/>
      <c r="J93" s="37">
        <v>60</v>
      </c>
      <c r="K93" s="37"/>
      <c r="L93" s="37">
        <v>60</v>
      </c>
      <c r="M93" s="36">
        <v>1</v>
      </c>
      <c r="N93" s="37"/>
      <c r="O93" s="37"/>
      <c r="Q93" s="13"/>
    </row>
    <row r="94" spans="1:17" ht="24" customHeight="1" x14ac:dyDescent="0.2">
      <c r="A94" s="29" t="s">
        <v>118</v>
      </c>
      <c r="B94" s="30" t="s">
        <v>119</v>
      </c>
      <c r="C94" s="31">
        <f>C91+C83+C65+C59+C53+C46+C34+C29+C14+C11+C93</f>
        <v>945300.88216000004</v>
      </c>
      <c r="D94" s="31">
        <f>D91+D83+D65+D59+D53+D46+D34+D29+D14+D11+D93</f>
        <v>500136.70160000003</v>
      </c>
      <c r="E94" s="31">
        <f>E91+E83+E65+E59+E53+E46+E34+E29+E14+E11+E93</f>
        <v>472288.03356000001</v>
      </c>
      <c r="F94" s="32">
        <f>E94/D94</f>
        <v>0.94431788758771629</v>
      </c>
      <c r="G94" s="31">
        <f>G91+G83+G65+G59+G53+G46+G34+G29+G14+G11</f>
        <v>406783.23800000007</v>
      </c>
      <c r="H94" s="32">
        <f t="shared" si="3"/>
        <v>1.1610312064038388</v>
      </c>
      <c r="I94" s="31">
        <f t="shared" si="4"/>
        <v>65504.79555999994</v>
      </c>
      <c r="J94" s="31">
        <f>J91+J83+J65+J59+J53+J46+J34+J29+J14+J11+J93</f>
        <v>224374.462</v>
      </c>
      <c r="K94" s="31">
        <f>K91+K83+K65+K59+K53+K46+K34+K29+K14+K11+K93</f>
        <v>225616.61968</v>
      </c>
      <c r="L94" s="31">
        <f>L91+L83+L65+L59+L53+L46+L34+L29+L14+L11+L93</f>
        <v>67708.569510000001</v>
      </c>
      <c r="M94" s="32">
        <f>L94/K94</f>
        <v>0.30010452956007161</v>
      </c>
      <c r="N94" s="31">
        <f>N91+N83+N65+N59+N53+N46+N34+N29+N14+N11</f>
        <v>83851.943419999981</v>
      </c>
      <c r="O94" s="31">
        <f>O91+O83+O65+O59+O53+O46+O34+O29+O14+O11</f>
        <v>-16203.373909999997</v>
      </c>
      <c r="Q94" s="13">
        <f t="shared" si="14"/>
        <v>-1242.1576800000039</v>
      </c>
    </row>
    <row r="95" spans="1:17" x14ac:dyDescent="0.2">
      <c r="A95" s="2"/>
      <c r="B95" s="2"/>
      <c r="C95" s="2"/>
      <c r="D95" s="2"/>
      <c r="E95" s="2"/>
      <c r="G95" s="41"/>
    </row>
    <row r="96" spans="1:17" s="12" customFormat="1" ht="15.75" x14ac:dyDescent="0.25">
      <c r="A96" s="18"/>
      <c r="B96" s="18"/>
      <c r="C96" s="19"/>
      <c r="D96" s="19"/>
      <c r="E96" s="19"/>
      <c r="G96" s="47"/>
      <c r="H96" s="20"/>
      <c r="I96" s="20"/>
    </row>
    <row r="97" spans="2:22" s="12" customFormat="1" ht="18.75" x14ac:dyDescent="0.3">
      <c r="B97" s="21" t="s">
        <v>159</v>
      </c>
      <c r="C97" s="18"/>
      <c r="D97" s="18"/>
      <c r="E97" s="18"/>
      <c r="F97" s="22"/>
      <c r="G97" s="48"/>
      <c r="N97" s="21" t="s">
        <v>178</v>
      </c>
      <c r="O97" s="22"/>
      <c r="P97" s="23"/>
      <c r="Q97" s="23"/>
      <c r="R97" s="23"/>
      <c r="S97" s="23"/>
      <c r="T97" s="23"/>
      <c r="U97" s="23"/>
      <c r="V97" s="23"/>
    </row>
    <row r="98" spans="2:22" s="12" customFormat="1" ht="18.75" x14ac:dyDescent="0.3">
      <c r="B98" s="24"/>
      <c r="C98" s="18"/>
      <c r="D98" s="18"/>
      <c r="E98" s="18"/>
      <c r="G98" s="39"/>
      <c r="H98" s="25"/>
      <c r="I98" s="22"/>
      <c r="N98" s="25"/>
      <c r="O98" s="22"/>
    </row>
    <row r="99" spans="2:22" s="12" customFormat="1" ht="18.75" x14ac:dyDescent="0.3">
      <c r="B99" s="24"/>
      <c r="C99" s="18"/>
      <c r="D99" s="18"/>
      <c r="E99" s="18"/>
      <c r="G99" s="39"/>
      <c r="H99" s="25"/>
      <c r="I99" s="22"/>
      <c r="N99" s="25"/>
      <c r="O99" s="22"/>
    </row>
  </sheetData>
  <mergeCells count="7">
    <mergeCell ref="G1:I3"/>
    <mergeCell ref="M1:O3"/>
    <mergeCell ref="A4:O7"/>
    <mergeCell ref="J9:O9"/>
    <mergeCell ref="A9:A10"/>
    <mergeCell ref="B9:B10"/>
    <mergeCell ref="C9:I9"/>
  </mergeCells>
  <pageMargins left="0.31496062992125984" right="0.31496062992125984" top="0.39370078740157483" bottom="0.39370078740157483" header="0" footer="0"/>
  <pageSetup paperSize="9" scale="5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Аркуш1!Заголовки_для_печати</vt:lpstr>
      <vt:lpstr>Аркуш1!Область_печати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 Windows</cp:lastModifiedBy>
  <cp:lastPrinted>2021-07-23T08:30:54Z</cp:lastPrinted>
  <dcterms:created xsi:type="dcterms:W3CDTF">2021-04-19T07:27:31Z</dcterms:created>
  <dcterms:modified xsi:type="dcterms:W3CDTF">2021-08-18T10:08:24Z</dcterms:modified>
</cp:coreProperties>
</file>