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  d\Budzet 2021\Виконання за 9 місяців\"/>
    </mc:Choice>
  </mc:AlternateContent>
  <xr:revisionPtr revIDLastSave="0" documentId="13_ncr:1_{DA12CDFA-094E-46F2-B698-2A09CEC295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.10.2021" sheetId="19" r:id="rId1"/>
  </sheets>
  <definedNames>
    <definedName name="_xlnm.Print_Titles" localSheetId="0">'01.10.2021'!$7:$8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9" l="1"/>
  <c r="J28" i="19"/>
  <c r="J26" i="19" s="1"/>
  <c r="J20" i="19"/>
  <c r="H35" i="19"/>
  <c r="H31" i="19"/>
  <c r="H30" i="19"/>
  <c r="H28" i="19"/>
  <c r="H27" i="19"/>
  <c r="H25" i="19"/>
  <c r="U35" i="19"/>
  <c r="U33" i="19" s="1"/>
  <c r="U34" i="19"/>
  <c r="J34" i="19"/>
  <c r="J33" i="19" s="1"/>
  <c r="T33" i="19"/>
  <c r="S33" i="19"/>
  <c r="R33" i="19"/>
  <c r="Q33" i="19"/>
  <c r="P33" i="19"/>
  <c r="O33" i="19"/>
  <c r="N33" i="19"/>
  <c r="M33" i="19"/>
  <c r="L33" i="19"/>
  <c r="K33" i="19"/>
  <c r="I33" i="19"/>
  <c r="U32" i="19"/>
  <c r="J32" i="19"/>
  <c r="H32" i="19"/>
  <c r="U31" i="19"/>
  <c r="V31" i="19" s="1"/>
  <c r="U30" i="19"/>
  <c r="J30" i="19"/>
  <c r="U29" i="19"/>
  <c r="T29" i="19"/>
  <c r="S29" i="19"/>
  <c r="R29" i="19"/>
  <c r="Q29" i="19"/>
  <c r="P29" i="19"/>
  <c r="O29" i="19"/>
  <c r="N29" i="19"/>
  <c r="M29" i="19"/>
  <c r="L29" i="19"/>
  <c r="K29" i="19"/>
  <c r="I29" i="19"/>
  <c r="G29" i="19"/>
  <c r="U28" i="19"/>
  <c r="U27" i="19"/>
  <c r="U26" i="19" s="1"/>
  <c r="T26" i="19"/>
  <c r="T23" i="19" s="1"/>
  <c r="T22" i="19" s="1"/>
  <c r="S26" i="19"/>
  <c r="R26" i="19"/>
  <c r="Q26" i="19"/>
  <c r="P26" i="19"/>
  <c r="P23" i="19" s="1"/>
  <c r="P22" i="19" s="1"/>
  <c r="O26" i="19"/>
  <c r="N26" i="19"/>
  <c r="M26" i="19"/>
  <c r="L26" i="19"/>
  <c r="L23" i="19" s="1"/>
  <c r="L22" i="19" s="1"/>
  <c r="K26" i="19"/>
  <c r="I26" i="19"/>
  <c r="G26" i="19"/>
  <c r="U25" i="19"/>
  <c r="V25" i="19" s="1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N23" i="19"/>
  <c r="I23" i="19"/>
  <c r="R22" i="19"/>
  <c r="N22" i="19"/>
  <c r="I22" i="19"/>
  <c r="U21" i="19"/>
  <c r="J21" i="19"/>
  <c r="H21" i="19"/>
  <c r="U20" i="19"/>
  <c r="H20" i="19"/>
  <c r="U19" i="19"/>
  <c r="H19" i="19"/>
  <c r="T18" i="19"/>
  <c r="T10" i="19" s="1"/>
  <c r="T9" i="19" s="1"/>
  <c r="T37" i="19" s="1"/>
  <c r="S18" i="19"/>
  <c r="R18" i="19"/>
  <c r="Q18" i="19"/>
  <c r="P18" i="19"/>
  <c r="P10" i="19" s="1"/>
  <c r="P9" i="19" s="1"/>
  <c r="P37" i="19" s="1"/>
  <c r="O18" i="19"/>
  <c r="N18" i="19"/>
  <c r="M18" i="19"/>
  <c r="L18" i="19"/>
  <c r="L10" i="19" s="1"/>
  <c r="L9" i="19" s="1"/>
  <c r="L37" i="19" s="1"/>
  <c r="K18" i="19"/>
  <c r="J18" i="19"/>
  <c r="I18" i="19"/>
  <c r="G18" i="19"/>
  <c r="U17" i="19"/>
  <c r="J17" i="19"/>
  <c r="V17" i="19" s="1"/>
  <c r="H17" i="19"/>
  <c r="U16" i="19"/>
  <c r="J16" i="19"/>
  <c r="H16" i="19"/>
  <c r="U15" i="19"/>
  <c r="J15" i="19"/>
  <c r="H15" i="19"/>
  <c r="U14" i="19"/>
  <c r="J14" i="19"/>
  <c r="H14" i="19"/>
  <c r="V14" i="19" s="1"/>
  <c r="U13" i="19"/>
  <c r="J13" i="19"/>
  <c r="J11" i="19" s="1"/>
  <c r="J10" i="19" s="1"/>
  <c r="J9" i="19" s="1"/>
  <c r="H13" i="19"/>
  <c r="U12" i="19"/>
  <c r="U11" i="19" s="1"/>
  <c r="J12" i="19"/>
  <c r="H12" i="19"/>
  <c r="V12" i="19" s="1"/>
  <c r="T11" i="19"/>
  <c r="S11" i="19"/>
  <c r="R11" i="19"/>
  <c r="Q11" i="19"/>
  <c r="P11" i="19"/>
  <c r="O11" i="19"/>
  <c r="N11" i="19"/>
  <c r="M11" i="19"/>
  <c r="L11" i="19"/>
  <c r="K11" i="19"/>
  <c r="I11" i="19"/>
  <c r="G11" i="19"/>
  <c r="R10" i="19"/>
  <c r="N10" i="19"/>
  <c r="R9" i="19"/>
  <c r="R37" i="19" s="1"/>
  <c r="N9" i="19"/>
  <c r="N37" i="19" s="1"/>
  <c r="G10" i="19" l="1"/>
  <c r="G9" i="19" s="1"/>
  <c r="G23" i="19"/>
  <c r="G22" i="19" s="1"/>
  <c r="V27" i="19"/>
  <c r="H29" i="19"/>
  <c r="V35" i="19"/>
  <c r="H11" i="19"/>
  <c r="I10" i="19"/>
  <c r="I9" i="19" s="1"/>
  <c r="I37" i="19" s="1"/>
  <c r="K10" i="19"/>
  <c r="K9" i="19" s="1"/>
  <c r="M10" i="19"/>
  <c r="M9" i="19" s="1"/>
  <c r="O10" i="19"/>
  <c r="O9" i="19" s="1"/>
  <c r="Q10" i="19"/>
  <c r="Q9" i="19" s="1"/>
  <c r="S10" i="19"/>
  <c r="S9" i="19" s="1"/>
  <c r="V19" i="19"/>
  <c r="V20" i="19"/>
  <c r="V21" i="19"/>
  <c r="K23" i="19"/>
  <c r="K22" i="19" s="1"/>
  <c r="M23" i="19"/>
  <c r="M22" i="19" s="1"/>
  <c r="O23" i="19"/>
  <c r="O22" i="19" s="1"/>
  <c r="Q23" i="19"/>
  <c r="Q22" i="19" s="1"/>
  <c r="S23" i="19"/>
  <c r="S22" i="19" s="1"/>
  <c r="V32" i="19"/>
  <c r="H33" i="19"/>
  <c r="V11" i="19"/>
  <c r="V13" i="19"/>
  <c r="V15" i="19"/>
  <c r="V16" i="19"/>
  <c r="H18" i="19"/>
  <c r="H10" i="19" s="1"/>
  <c r="H9" i="19" s="1"/>
  <c r="V9" i="19" s="1"/>
  <c r="U18" i="19"/>
  <c r="U10" i="19" s="1"/>
  <c r="U9" i="19" s="1"/>
  <c r="U24" i="19"/>
  <c r="U23" i="19" s="1"/>
  <c r="U22" i="19" s="1"/>
  <c r="J29" i="19"/>
  <c r="V30" i="19"/>
  <c r="H26" i="19"/>
  <c r="J23" i="19"/>
  <c r="J22" i="19" s="1"/>
  <c r="J37" i="19" s="1"/>
  <c r="V10" i="19"/>
  <c r="V29" i="19"/>
  <c r="H23" i="19"/>
  <c r="H22" i="19" s="1"/>
  <c r="H37" i="19" s="1"/>
  <c r="V28" i="19"/>
  <c r="V26" i="19" s="1"/>
  <c r="V18" i="19"/>
  <c r="V34" i="19"/>
  <c r="V33" i="19" s="1"/>
  <c r="G37" i="19"/>
  <c r="S37" i="19" l="1"/>
  <c r="O37" i="19"/>
  <c r="K37" i="19"/>
  <c r="Q37" i="19"/>
  <c r="M37" i="19"/>
  <c r="U37" i="19"/>
  <c r="V24" i="19"/>
  <c r="V37" i="19"/>
  <c r="V22" i="19"/>
  <c r="V23" i="19"/>
</calcChain>
</file>

<file path=xl/sharedStrings.xml><?xml version="1.0" encoding="utf-8"?>
<sst xmlns="http://schemas.openxmlformats.org/spreadsheetml/2006/main" count="120" uniqueCount="58">
  <si>
    <t>Код Типової
програмної
класифікації
видатків та
кредитування
місцевого
бюджету</t>
  </si>
  <si>
    <t xml:space="preserve">Код
Функціональної
класифікації
видатків та
кредитування
бюджету
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</si>
  <si>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</si>
  <si>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</si>
  <si>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</si>
  <si>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12</t>
  </si>
  <si>
    <t>Управління міського господарства   Мукачівської міської ради (головний розпорядник)</t>
  </si>
  <si>
    <t>Управління міського господарства    Мукачівської міської ради  (відповідальний виконавець)</t>
  </si>
  <si>
    <t>6030</t>
  </si>
  <si>
    <t>0620</t>
  </si>
  <si>
    <t>Організація благоустрою населених пунктів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</si>
  <si>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</si>
  <si>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</si>
  <si>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</si>
  <si>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 внутріквартальних проїздів по вул. Франка Івана, 144, 148 у м. Мукачево</t>
  </si>
  <si>
    <t>Капітальний ремонт тротуарів по вул. Берегівська-об'їздна у м.Мукачево</t>
  </si>
  <si>
    <t>7330</t>
  </si>
  <si>
    <t>0443</t>
  </si>
  <si>
    <t>Будівництво  інших об'єктів  комунальної власності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</si>
  <si>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</si>
  <si>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</si>
  <si>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>15</t>
  </si>
  <si>
    <t>7325</t>
  </si>
  <si>
    <t>Будівництво споруд, установ та закладів фізичної культури і спорту</t>
  </si>
  <si>
    <t>Реконструкція ДЮСШ по вул. Духновича, 93 в м. Мукачево</t>
  </si>
  <si>
    <t>2019-2021</t>
  </si>
  <si>
    <t>2020-2021</t>
  </si>
  <si>
    <t>Реконструкція спортивних полів, бігових доріжок та трибун ДЮСШ по вул. Духновича, 93 в м. Мукачево</t>
  </si>
  <si>
    <t xml:space="preserve">Усього </t>
  </si>
  <si>
    <t xml:space="preserve">Разом </t>
  </si>
  <si>
    <t>1216030</t>
  </si>
  <si>
    <t>Обсяг видатків бюджету розвитку, які спрямовуються на будівництво об'єкта у бюджетному періоді, гривень (ріш-ня №111 від 22.12.2020)</t>
  </si>
  <si>
    <t>121</t>
  </si>
  <si>
    <t>1217330</t>
  </si>
  <si>
    <t>Будівництво скверу на перехресті вул. Морозова Миколи академіка - вул. Підгорянська у м.Мукачево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</si>
  <si>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</si>
  <si>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</si>
  <si>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151</t>
  </si>
  <si>
    <t>1516030</t>
  </si>
  <si>
    <t>Капітальний ремонт  внутріквартальних проїздів по вул. Мічуріна, 1, 1А у м. Мукачево</t>
  </si>
  <si>
    <t>7321</t>
  </si>
  <si>
    <t>Будівництво освітніх установ та закладів</t>
  </si>
  <si>
    <t>1517321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</si>
  <si>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</si>
  <si>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1517325</t>
  </si>
  <si>
    <t>Капітальний ремонт будівлі ДЮСШ по вул. Духновича Олександра, 93 в м. Мукачево</t>
  </si>
  <si>
    <t>Капітальний ремонт  внутріквартального проїзду по вул. Франка Івана, 152 у м. Мукачево</t>
  </si>
  <si>
    <t>Обсяг видатків бюджету розвитку, які спрямовуються на будівництво об'єкта у бюджетному періоді зі змінами, гривень (ріш-ня №293 від 25.03.2021)</t>
  </si>
  <si>
    <t>1517330</t>
  </si>
  <si>
    <t>Будівництво інших об’єктів комунальної власності</t>
  </si>
  <si>
    <t>Залишок бюджетних призначень на 2021 рік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</si>
  <si>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</si>
  <si>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привокзальної площі у м. Мукачево</t>
  </si>
  <si>
    <t>Профінансовано протягом вересня 2021 року</t>
  </si>
  <si>
    <t>Інформація про використання коштів за рахунок місцевого запозичення (у розрізі об’єктів) станом на 01.10.2021 року</t>
  </si>
  <si>
    <t>Профінансовано станом на 01.10.2021р.</t>
  </si>
  <si>
    <t>Обсяг видатків бюджету розвитку, які спрямовуються на будівництво об'єкта у бюджетному періоді зі змінами, гривень (ріш-ня №111 від 22.12.2020+ріш-ня №254 від 02.03.2021+ ріш-ня №293 від 25.03.2021+ріш-ня №331 від 29.04.2021+ріш-ня №423 від 25.06.2021 +ріш-ня №458 від 29.07.2021 +ріш-ня №506 від 26.08.2021 +ріш-ня №513 від 09.09.2021)</t>
  </si>
  <si>
    <t>Додаток до пояснбвальної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</si>
</sst>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г_р_н_._-;\-* #,##0.00\ _г_р_н_._-;_-* &quot;-&quot;??\ _г_р_н_._-;_-@_-"/>
    <numFmt numFmtId="165" formatCode="#,##0.0"/>
    <numFmt numFmtId="166" formatCode="#,##0_ ;\-#,##0\ "/>
    <numFmt numFmtId="167" formatCode="#,##0.00_ ;\-#,##0.00\ 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9" fontId="1" fillId="0" borderId="0" applyFont="0" applyFill="0" applyBorder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3" applyNumberFormat="0" applyFill="0" applyAlignment="0" applyProtection="0"/>
    <xf numFmtId="0" fontId="1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3" fillId="0" borderId="0">
      <alignment vertical="top"/>
    </xf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22" borderId="0" applyNumberFormat="0" applyBorder="0" applyAlignment="0" applyProtection="0"/>
    <xf numFmtId="0" fontId="24" fillId="0" borderId="0"/>
    <xf numFmtId="0" fontId="1" fillId="0" borderId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/>
    <xf numFmtId="0" fontId="27" fillId="24" borderId="11" xfId="42" applyFont="1" applyFill="1" applyBorder="1" applyAlignment="1">
      <alignment horizontal="center" vertical="center" wrapText="1"/>
    </xf>
    <xf numFmtId="0" fontId="25" fillId="0" borderId="0" xfId="0" applyFont="1"/>
    <xf numFmtId="49" fontId="27" fillId="24" borderId="11" xfId="42" applyNumberFormat="1" applyFont="1" applyFill="1" applyBorder="1" applyAlignment="1">
      <alignment horizontal="center" vertical="center" wrapText="1"/>
    </xf>
    <xf numFmtId="165" fontId="27" fillId="24" borderId="11" xfId="42" applyNumberFormat="1" applyFont="1" applyFill="1" applyBorder="1" applyAlignment="1">
      <alignment horizontal="left" vertical="center" wrapText="1"/>
    </xf>
    <xf numFmtId="165" fontId="27" fillId="24" borderId="14" xfId="37" applyNumberFormat="1" applyFont="1" applyFill="1" applyBorder="1" applyAlignment="1">
      <alignment horizontal="left" vertical="center"/>
    </xf>
    <xf numFmtId="165" fontId="27" fillId="24" borderId="14" xfId="37" applyNumberFormat="1" applyFont="1" applyFill="1" applyBorder="1" applyAlignment="1">
      <alignment horizontal="center" vertical="center"/>
    </xf>
    <xf numFmtId="165" fontId="27" fillId="24" borderId="11" xfId="37" applyNumberFormat="1" applyFont="1" applyFill="1" applyBorder="1" applyAlignment="1">
      <alignment horizontal="left" vertical="center"/>
    </xf>
    <xf numFmtId="165" fontId="27" fillId="24" borderId="11" xfId="37" applyNumberFormat="1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left" vertical="center" wrapText="1"/>
    </xf>
    <xf numFmtId="49" fontId="2" fillId="24" borderId="11" xfId="42" applyNumberFormat="1" applyFont="1" applyFill="1" applyBorder="1" applyAlignment="1">
      <alignment horizontal="center" vertical="center" wrapText="1"/>
    </xf>
    <xf numFmtId="0" fontId="2" fillId="24" borderId="11" xfId="42" applyFont="1" applyFill="1" applyBorder="1" applyAlignment="1">
      <alignment horizontal="left" vertical="center" wrapText="1"/>
    </xf>
    <xf numFmtId="1" fontId="2" fillId="24" borderId="15" xfId="42" applyNumberFormat="1" applyFont="1" applyFill="1" applyBorder="1" applyAlignment="1">
      <alignment horizontal="left" vertical="center" wrapText="1"/>
    </xf>
    <xf numFmtId="0" fontId="2" fillId="24" borderId="11" xfId="42" applyFont="1" applyFill="1" applyBorder="1" applyAlignment="1">
      <alignment horizontal="center" vertical="center" wrapText="1"/>
    </xf>
    <xf numFmtId="0" fontId="27" fillId="24" borderId="11" xfId="43" applyFont="1" applyFill="1" applyBorder="1" applyAlignment="1">
      <alignment horizontal="left" vertical="center" wrapText="1"/>
    </xf>
    <xf numFmtId="0" fontId="27" fillId="24" borderId="11" xfId="43" applyFont="1" applyFill="1" applyBorder="1" applyAlignment="1">
      <alignment horizontal="center" vertical="center" wrapText="1"/>
    </xf>
    <xf numFmtId="0" fontId="2" fillId="26" borderId="10" xfId="43" applyFont="1" applyFill="1" applyBorder="1" applyAlignment="1">
      <alignment horizontal="left" vertical="center" wrapText="1"/>
    </xf>
    <xf numFmtId="0" fontId="28" fillId="24" borderId="11" xfId="42" applyFont="1" applyFill="1" applyBorder="1" applyAlignment="1">
      <alignment horizontal="center" vertical="center" wrapText="1"/>
    </xf>
    <xf numFmtId="49" fontId="27" fillId="24" borderId="11" xfId="42" applyNumberFormat="1" applyFont="1" applyFill="1" applyBorder="1" applyAlignment="1">
      <alignment horizontal="center" vertical="center"/>
    </xf>
    <xf numFmtId="165" fontId="27" fillId="24" borderId="11" xfId="37" applyNumberFormat="1" applyFont="1" applyFill="1" applyBorder="1" applyAlignment="1">
      <alignment horizontal="left" vertical="center" wrapText="1"/>
    </xf>
    <xf numFmtId="49" fontId="2" fillId="24" borderId="11" xfId="42" applyNumberFormat="1" applyFont="1" applyFill="1" applyBorder="1" applyAlignment="1">
      <alignment horizontal="center" vertical="center"/>
    </xf>
    <xf numFmtId="165" fontId="2" fillId="24" borderId="11" xfId="42" applyNumberFormat="1" applyFont="1" applyFill="1" applyBorder="1" applyAlignment="1">
      <alignment horizontal="left" vertical="center" wrapText="1"/>
    </xf>
    <xf numFmtId="0" fontId="2" fillId="24" borderId="11" xfId="34" applyFont="1" applyFill="1" applyBorder="1" applyAlignment="1">
      <alignment horizontal="left" vertical="center" wrapText="1"/>
    </xf>
    <xf numFmtId="0" fontId="2" fillId="24" borderId="11" xfId="34" applyFont="1" applyFill="1" applyBorder="1" applyAlignment="1">
      <alignment horizontal="center" vertical="center" wrapText="1"/>
    </xf>
    <xf numFmtId="0" fontId="2" fillId="0" borderId="11" xfId="42" applyFont="1" applyBorder="1" applyAlignment="1">
      <alignment horizontal="left" vertical="center" wrapText="1"/>
    </xf>
    <xf numFmtId="1" fontId="2" fillId="0" borderId="11" xfId="37" applyNumberFormat="1" applyFont="1" applyBorder="1" applyAlignment="1">
      <alignment horizontal="center" vertical="center" wrapText="1"/>
    </xf>
    <xf numFmtId="165" fontId="22" fillId="24" borderId="17" xfId="42" applyNumberFormat="1" applyFont="1" applyFill="1" applyBorder="1" applyAlignment="1">
      <alignment horizontal="left" vertical="center"/>
    </xf>
    <xf numFmtId="49" fontId="22" fillId="24" borderId="11" xfId="42" applyNumberFormat="1" applyFont="1" applyFill="1" applyBorder="1" applyAlignment="1">
      <alignment horizontal="center" vertical="center" wrapText="1"/>
    </xf>
    <xf numFmtId="0" fontId="22" fillId="24" borderId="11" xfId="42" applyFont="1" applyFill="1" applyBorder="1" applyAlignment="1">
      <alignment horizontal="left" vertical="center" wrapText="1"/>
    </xf>
    <xf numFmtId="165" fontId="22" fillId="24" borderId="11" xfId="42" applyNumberFormat="1" applyFont="1" applyFill="1" applyBorder="1" applyAlignment="1">
      <alignment horizontal="left" vertical="center"/>
    </xf>
    <xf numFmtId="167" fontId="29" fillId="24" borderId="18" xfId="37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/>
    <xf numFmtId="4" fontId="31" fillId="0" borderId="10" xfId="0" applyNumberFormat="1" applyFont="1" applyBorder="1"/>
    <xf numFmtId="167" fontId="29" fillId="24" borderId="17" xfId="37" applyNumberFormat="1" applyFont="1" applyFill="1" applyBorder="1" applyAlignment="1">
      <alignment horizontal="center" vertical="center" wrapText="1"/>
    </xf>
    <xf numFmtId="166" fontId="32" fillId="24" borderId="17" xfId="37" applyNumberFormat="1" applyFont="1" applyFill="1" applyBorder="1" applyAlignment="1">
      <alignment horizontal="center" vertical="center" wrapText="1"/>
    </xf>
    <xf numFmtId="167" fontId="29" fillId="24" borderId="17" xfId="42" applyNumberFormat="1" applyFont="1" applyFill="1" applyBorder="1" applyAlignment="1">
      <alignment horizontal="center" vertical="center" wrapText="1"/>
    </xf>
    <xf numFmtId="167" fontId="31" fillId="0" borderId="13" xfId="0" applyNumberFormat="1" applyFont="1" applyBorder="1" applyAlignment="1">
      <alignment horizontal="center"/>
    </xf>
    <xf numFmtId="167" fontId="29" fillId="27" borderId="18" xfId="37" applyNumberFormat="1" applyFont="1" applyFill="1" applyBorder="1" applyAlignment="1">
      <alignment horizontal="center" vertical="center" wrapText="1"/>
    </xf>
    <xf numFmtId="167" fontId="29" fillId="27" borderId="17" xfId="37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/>
    <xf numFmtId="167" fontId="31" fillId="25" borderId="13" xfId="0" applyNumberFormat="1" applyFont="1" applyFill="1" applyBorder="1" applyAlignment="1">
      <alignment horizontal="center"/>
    </xf>
    <xf numFmtId="4" fontId="30" fillId="0" borderId="12" xfId="0" applyNumberFormat="1" applyFont="1" applyBorder="1"/>
    <xf numFmtId="167" fontId="29" fillId="24" borderId="21" xfId="37" applyNumberFormat="1" applyFont="1" applyFill="1" applyBorder="1" applyAlignment="1">
      <alignment horizontal="center" vertical="center" wrapText="1"/>
    </xf>
    <xf numFmtId="167" fontId="29" fillId="24" borderId="10" xfId="42" applyNumberFormat="1" applyFont="1" applyFill="1" applyBorder="1" applyAlignment="1">
      <alignment horizontal="center" vertical="center" wrapText="1"/>
    </xf>
    <xf numFmtId="167" fontId="29" fillId="24" borderId="10" xfId="37" applyNumberFormat="1" applyFont="1" applyFill="1" applyBorder="1" applyAlignment="1">
      <alignment horizontal="center" vertical="center" wrapText="1"/>
    </xf>
    <xf numFmtId="167" fontId="32" fillId="25" borderId="10" xfId="37" applyNumberFormat="1" applyFont="1" applyFill="1" applyBorder="1" applyAlignment="1">
      <alignment horizontal="center" vertical="center" wrapText="1"/>
    </xf>
    <xf numFmtId="167" fontId="32" fillId="24" borderId="10" xfId="37" applyNumberFormat="1" applyFont="1" applyFill="1" applyBorder="1" applyAlignment="1">
      <alignment horizontal="center" vertical="center" wrapText="1"/>
    </xf>
    <xf numFmtId="167" fontId="32" fillId="24" borderId="10" xfId="42" applyNumberFormat="1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65" fontId="2" fillId="24" borderId="11" xfId="37" applyNumberFormat="1" applyFont="1" applyFill="1" applyBorder="1" applyAlignment="1">
      <alignment horizontal="left" vertical="center" wrapText="1"/>
    </xf>
    <xf numFmtId="166" fontId="32" fillId="24" borderId="17" xfId="42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166" fontId="32" fillId="25" borderId="13" xfId="37" applyNumberFormat="1" applyFont="1" applyFill="1" applyBorder="1" applyAlignment="1">
      <alignment horizontal="center" vertical="center" wrapText="1"/>
    </xf>
    <xf numFmtId="167" fontId="31" fillId="0" borderId="16" xfId="0" applyNumberFormat="1" applyFont="1" applyBorder="1" applyAlignment="1">
      <alignment horizontal="center"/>
    </xf>
    <xf numFmtId="167" fontId="31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2" fillId="24" borderId="17" xfId="42" applyFont="1" applyFill="1" applyBorder="1" applyAlignment="1">
      <alignment horizontal="center" vertical="center" wrapText="1"/>
    </xf>
    <xf numFmtId="0" fontId="27" fillId="24" borderId="17" xfId="42" applyFont="1" applyFill="1" applyBorder="1" applyAlignment="1">
      <alignment horizontal="center" vertical="center" wrapText="1"/>
    </xf>
    <xf numFmtId="167" fontId="32" fillId="25" borderId="13" xfId="37" applyNumberFormat="1" applyFont="1" applyFill="1" applyBorder="1" applyAlignment="1">
      <alignment horizontal="center" vertical="center" wrapText="1"/>
    </xf>
    <xf numFmtId="4" fontId="30" fillId="0" borderId="16" xfId="0" applyNumberFormat="1" applyFont="1" applyBorder="1"/>
    <xf numFmtId="4" fontId="30" fillId="0" borderId="13" xfId="0" applyNumberFormat="1" applyFont="1" applyBorder="1"/>
    <xf numFmtId="4" fontId="30" fillId="25" borderId="13" xfId="0" applyNumberFormat="1" applyFont="1" applyFill="1" applyBorder="1"/>
    <xf numFmtId="166" fontId="29" fillId="25" borderId="13" xfId="37" applyNumberFormat="1" applyFont="1" applyFill="1" applyBorder="1" applyAlignment="1">
      <alignment horizontal="center" vertical="center" wrapText="1"/>
    </xf>
    <xf numFmtId="167" fontId="29" fillId="25" borderId="13" xfId="37" applyNumberFormat="1" applyFont="1" applyFill="1" applyBorder="1" applyAlignment="1">
      <alignment horizontal="center" vertical="center" wrapText="1"/>
    </xf>
    <xf numFmtId="167" fontId="29" fillId="25" borderId="10" xfId="37" applyNumberFormat="1" applyFont="1" applyFill="1" applyBorder="1" applyAlignment="1">
      <alignment horizontal="center" vertical="center" wrapText="1"/>
    </xf>
    <xf numFmtId="167" fontId="32" fillId="25" borderId="10" xfId="37" applyNumberFormat="1" applyFont="1" applyFill="1" applyBorder="1" applyAlignment="1">
      <alignment horizontal="center" wrapText="1"/>
    </xf>
    <xf numFmtId="4" fontId="30" fillId="0" borderId="10" xfId="0" applyNumberFormat="1" applyFont="1" applyBorder="1" applyAlignment="1">
      <alignment horizontal="center"/>
    </xf>
    <xf numFmtId="4" fontId="30" fillId="0" borderId="12" xfId="0" applyNumberFormat="1" applyFont="1" applyBorder="1" applyAlignment="1"/>
    <xf numFmtId="4" fontId="30" fillId="0" borderId="10" xfId="0" applyNumberFormat="1" applyFont="1" applyBorder="1" applyAlignment="1"/>
    <xf numFmtId="4" fontId="30" fillId="25" borderId="10" xfId="0" applyNumberFormat="1" applyFont="1" applyFill="1" applyBorder="1" applyAlignment="1"/>
    <xf numFmtId="167" fontId="32" fillId="27" borderId="17" xfId="37" applyNumberFormat="1" applyFont="1" applyFill="1" applyBorder="1" applyAlignment="1">
      <alignment horizontal="center" vertical="center" wrapText="1"/>
    </xf>
    <xf numFmtId="167" fontId="32" fillId="24" borderId="17" xfId="37" applyNumberFormat="1" applyFont="1" applyFill="1" applyBorder="1" applyAlignment="1">
      <alignment horizontal="center" vertical="center" wrapText="1"/>
    </xf>
    <xf numFmtId="167" fontId="32" fillId="24" borderId="21" xfId="37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1" fillId="0" borderId="15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20" xfId="42" applyFont="1" applyFill="1" applyBorder="1" applyAlignment="1">
      <alignment horizontal="center" vertical="center" wrapText="1"/>
    </xf>
    <xf numFmtId="0" fontId="27" fillId="27" borderId="19" xfId="42" applyFont="1" applyFill="1" applyBorder="1" applyAlignment="1">
      <alignment horizontal="center" vertical="center" wrapText="1"/>
    </xf>
    <xf numFmtId="0" fontId="27" fillId="27" borderId="20" xfId="42" applyFont="1" applyFill="1" applyBorder="1" applyAlignment="1">
      <alignment horizontal="center" vertical="center" wrapText="1"/>
    </xf>
    <xf numFmtId="0" fontId="27" fillId="28" borderId="19" xfId="42" applyFont="1" applyFill="1" applyBorder="1" applyAlignment="1">
      <alignment horizontal="center" vertical="center" wrapText="1"/>
    </xf>
    <xf numFmtId="0" fontId="27" fillId="28" borderId="20" xfId="42" applyFont="1" applyFill="1" applyBorder="1" applyAlignment="1">
      <alignment horizontal="center" vertical="center" wrapText="1"/>
    </xf>
    <xf numFmtId="0" fontId="27" fillId="27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5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ідсотковий 2" xfId="27" xr:uid="{00000000-0005-0000-0000-000019000000}"/>
    <cellStyle name="Вывод 2" xfId="28" xr:uid="{00000000-0005-0000-0000-00001A000000}"/>
    <cellStyle name="Вычисление 2" xfId="29" xr:uid="{00000000-0005-0000-0000-00001B000000}"/>
    <cellStyle name="Заголовок 1 2" xfId="30" xr:uid="{00000000-0005-0000-0000-00001C000000}"/>
    <cellStyle name="Заголовок 2 2" xfId="31" xr:uid="{00000000-0005-0000-0000-00001D000000}"/>
    <cellStyle name="Заголовок 3 2" xfId="32" xr:uid="{00000000-0005-0000-0000-00001E000000}"/>
    <cellStyle name="Заголовок 4 2" xfId="33" xr:uid="{00000000-0005-0000-0000-00001F000000}"/>
    <cellStyle name="Звичайний" xfId="0" builtinId="0"/>
    <cellStyle name="Звичайний 2" xfId="34" xr:uid="{00000000-0005-0000-0000-000020000000}"/>
    <cellStyle name="Звичайний 2 2" xfId="35" xr:uid="{00000000-0005-0000-0000-000021000000}"/>
    <cellStyle name="Звичайний 2 3" xfId="36" xr:uid="{00000000-0005-0000-0000-000022000000}"/>
    <cellStyle name="Звичайний_Додаток _ 3 зм_ни 4575" xfId="37" xr:uid="{00000000-0005-0000-0000-000023000000}"/>
    <cellStyle name="Итог 2" xfId="38" xr:uid="{00000000-0005-0000-0000-000024000000}"/>
    <cellStyle name="Контрольная ячейка 2" xfId="39" xr:uid="{00000000-0005-0000-0000-000025000000}"/>
    <cellStyle name="Нейтральный 2" xfId="40" xr:uid="{00000000-0005-0000-0000-000026000000}"/>
    <cellStyle name="Обычный 2" xfId="41" xr:uid="{00000000-0005-0000-0000-000028000000}"/>
    <cellStyle name="Обычный 2 2" xfId="42" xr:uid="{00000000-0005-0000-0000-000029000000}"/>
    <cellStyle name="Обычный 3" xfId="1" xr:uid="{00000000-0005-0000-0000-00002A000000}"/>
    <cellStyle name="Обычный_ZV1PIV98" xfId="43" xr:uid="{00000000-0005-0000-0000-00002B000000}"/>
    <cellStyle name="Плохой 2" xfId="44" xr:uid="{00000000-0005-0000-0000-00002C000000}"/>
    <cellStyle name="Пояснение 2" xfId="45" xr:uid="{00000000-0005-0000-0000-00002D000000}"/>
    <cellStyle name="Примечание 2" xfId="46" xr:uid="{00000000-0005-0000-0000-00002E000000}"/>
    <cellStyle name="Связанная ячейка 2" xfId="47" xr:uid="{00000000-0005-0000-0000-00002F000000}"/>
    <cellStyle name="Текст предупреждения 2" xfId="48" xr:uid="{00000000-0005-0000-0000-000030000000}"/>
    <cellStyle name="Фінансовий 2" xfId="49" xr:uid="{00000000-0005-0000-0000-000031000000}"/>
    <cellStyle name="Хороший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7"/>
  <sheetViews>
    <sheetView tabSelected="1" view="pageBreakPreview" zoomScale="60" zoomScaleNormal="60" workbookViewId="0">
      <selection activeCell="J1" sqref="J1:V1"/>
    </sheetView>
  </sheetViews>
  <sheetFormatPr defaultColWidth="9.140625" defaultRowHeight="15" x14ac:dyDescent="0.25"/>
  <cols>
    <col min="1" max="1" width="9.140625" style="2"/>
    <col min="2" max="2" width="18.7109375" style="2" customWidth="1"/>
    <col min="3" max="3" width="14.140625" style="2" customWidth="1"/>
    <col min="4" max="4" width="36.5703125" style="2" customWidth="1"/>
    <col min="5" max="5" width="36.28515625" style="2" customWidth="1"/>
    <col min="6" max="6" width="13.7109375" style="2" customWidth="1"/>
    <col min="7" max="7" width="17.5703125" style="2" hidden="1" customWidth="1"/>
    <col min="8" max="8" width="30.85546875" style="2" customWidth="1"/>
    <col min="9" max="9" width="4.28515625" style="2" hidden="1" customWidth="1"/>
    <col min="10" max="10" width="17.5703125" style="2" customWidth="1"/>
    <col min="11" max="11" width="14.85546875" style="2" hidden="1" customWidth="1"/>
    <col min="12" max="14" width="15" style="2" hidden="1" customWidth="1"/>
    <col min="15" max="15" width="12.85546875" style="2" hidden="1" customWidth="1"/>
    <col min="16" max="17" width="15" style="2" hidden="1" customWidth="1"/>
    <col min="18" max="19" width="12.85546875" style="2" hidden="1" customWidth="1"/>
    <col min="20" max="20" width="13.28515625" style="2" hidden="1" customWidth="1"/>
    <col min="21" max="21" width="16.28515625" style="2" hidden="1" customWidth="1"/>
    <col min="22" max="22" width="18.5703125" style="2" customWidth="1"/>
    <col min="23" max="16384" width="9.140625" style="2"/>
  </cols>
  <sheetData>
    <row r="1" spans="2:23" x14ac:dyDescent="0.25">
      <c r="J1" s="99" t="s">
        <v>57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3" spans="2:23" ht="27.75" customHeight="1" x14ac:dyDescent="0.3">
      <c r="B3" s="87" t="s">
        <v>54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0"/>
    </row>
    <row r="4" spans="2:23" ht="20.25" hidden="1" x14ac:dyDescent="0.3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2:23" ht="20.25" hidden="1" x14ac:dyDescent="0.3"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7" spans="2:23" ht="69" customHeight="1" x14ac:dyDescent="0.25">
      <c r="B7" s="88" t="s">
        <v>0</v>
      </c>
      <c r="C7" s="88" t="s">
        <v>1</v>
      </c>
      <c r="D7" s="90" t="s">
        <v>2</v>
      </c>
      <c r="E7" s="90" t="s">
        <v>3</v>
      </c>
      <c r="F7" s="90" t="s">
        <v>4</v>
      </c>
      <c r="G7" s="92" t="s">
        <v>31</v>
      </c>
      <c r="H7" s="94" t="s">
        <v>56</v>
      </c>
      <c r="I7" s="96" t="s">
        <v>47</v>
      </c>
      <c r="J7" s="98" t="s">
        <v>55</v>
      </c>
      <c r="K7" s="82" t="s">
        <v>53</v>
      </c>
      <c r="L7" s="83"/>
      <c r="M7" s="83"/>
      <c r="N7" s="83"/>
      <c r="O7" s="83"/>
      <c r="P7" s="83"/>
      <c r="Q7" s="83"/>
      <c r="R7" s="83"/>
      <c r="S7" s="83"/>
      <c r="T7" s="83"/>
      <c r="U7" s="84"/>
      <c r="V7" s="85" t="s">
        <v>50</v>
      </c>
    </row>
    <row r="8" spans="2:23" ht="117" customHeight="1" x14ac:dyDescent="0.25">
      <c r="B8" s="89"/>
      <c r="C8" s="89"/>
      <c r="D8" s="91"/>
      <c r="E8" s="91"/>
      <c r="F8" s="91"/>
      <c r="G8" s="93"/>
      <c r="H8" s="95"/>
      <c r="I8" s="97"/>
      <c r="J8" s="98"/>
      <c r="K8" s="48"/>
      <c r="L8" s="48"/>
      <c r="M8" s="48"/>
      <c r="N8" s="48"/>
      <c r="O8" s="48"/>
      <c r="P8" s="48"/>
      <c r="Q8" s="48"/>
      <c r="R8" s="48"/>
      <c r="S8" s="48"/>
      <c r="T8" s="48"/>
      <c r="U8" s="49" t="s">
        <v>29</v>
      </c>
      <c r="V8" s="86"/>
    </row>
    <row r="9" spans="2:23" ht="42.75" x14ac:dyDescent="0.25">
      <c r="B9" s="3" t="s">
        <v>5</v>
      </c>
      <c r="C9" s="3"/>
      <c r="D9" s="4" t="s">
        <v>6</v>
      </c>
      <c r="E9" s="5"/>
      <c r="F9" s="6"/>
      <c r="G9" s="30">
        <f>G10</f>
        <v>0</v>
      </c>
      <c r="H9" s="30">
        <f>H10</f>
        <v>16327694</v>
      </c>
      <c r="I9" s="30">
        <f>I10</f>
        <v>0</v>
      </c>
      <c r="J9" s="30">
        <f>J10</f>
        <v>6204565.5500000007</v>
      </c>
      <c r="K9" s="30">
        <f t="shared" ref="K9:U9" si="0">K10</f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0">
        <f t="shared" si="0"/>
        <v>0</v>
      </c>
      <c r="U9" s="30">
        <f t="shared" si="0"/>
        <v>0</v>
      </c>
      <c r="V9" s="32">
        <f>G9+H9+I9-J9-U9</f>
        <v>10123128.449999999</v>
      </c>
    </row>
    <row r="10" spans="2:23" ht="42.75" x14ac:dyDescent="0.25">
      <c r="B10" s="3" t="s">
        <v>32</v>
      </c>
      <c r="C10" s="3"/>
      <c r="D10" s="4" t="s">
        <v>7</v>
      </c>
      <c r="E10" s="7"/>
      <c r="F10" s="8"/>
      <c r="G10" s="33">
        <f t="shared" ref="G10:T10" si="1">G11+G18</f>
        <v>0</v>
      </c>
      <c r="H10" s="33">
        <f t="shared" si="1"/>
        <v>16327694</v>
      </c>
      <c r="I10" s="33">
        <f t="shared" si="1"/>
        <v>0</v>
      </c>
      <c r="J10" s="33">
        <f t="shared" si="1"/>
        <v>6204565.5500000007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  <c r="T10" s="33">
        <f t="shared" si="1"/>
        <v>0</v>
      </c>
      <c r="U10" s="33">
        <f>U11+U18</f>
        <v>0</v>
      </c>
      <c r="V10" s="32">
        <f>G10+H10+I10-J10-U10</f>
        <v>10123128.449999999</v>
      </c>
    </row>
    <row r="11" spans="2:23" ht="28.5" x14ac:dyDescent="0.25">
      <c r="B11" s="3" t="s">
        <v>30</v>
      </c>
      <c r="C11" s="3" t="s">
        <v>9</v>
      </c>
      <c r="D11" s="9" t="s">
        <v>10</v>
      </c>
      <c r="E11" s="7"/>
      <c r="F11" s="8"/>
      <c r="G11" s="33">
        <f t="shared" ref="G11" si="2">G12+G13+G14+G15+G16</f>
        <v>0</v>
      </c>
      <c r="H11" s="33">
        <f>H12+H13+H14+H15+H16+H17</f>
        <v>13424166</v>
      </c>
      <c r="I11" s="33">
        <f>I12+I13+I14+I15+I16+I17</f>
        <v>0</v>
      </c>
      <c r="J11" s="33">
        <f>J12+J13+J14+J15+J16+J17</f>
        <v>4697843.6900000004</v>
      </c>
      <c r="K11" s="33">
        <f t="shared" ref="K11:U11" si="3">K12+K13+K14+K15+K16+K17</f>
        <v>0</v>
      </c>
      <c r="L11" s="33">
        <f t="shared" si="3"/>
        <v>0</v>
      </c>
      <c r="M11" s="33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3">
        <f t="shared" si="3"/>
        <v>0</v>
      </c>
      <c r="R11" s="33">
        <f t="shared" si="3"/>
        <v>0</v>
      </c>
      <c r="S11" s="33">
        <f t="shared" si="3"/>
        <v>0</v>
      </c>
      <c r="T11" s="33">
        <f t="shared" si="3"/>
        <v>0</v>
      </c>
      <c r="U11" s="33">
        <f t="shared" si="3"/>
        <v>0</v>
      </c>
      <c r="V11" s="32">
        <f>G11+H11+I11-J11-U11</f>
        <v>8726322.3099999987</v>
      </c>
    </row>
    <row r="12" spans="2:23" ht="51" customHeight="1" x14ac:dyDescent="0.25">
      <c r="B12" s="10" t="s">
        <v>8</v>
      </c>
      <c r="C12" s="10" t="s">
        <v>9</v>
      </c>
      <c r="D12" s="11" t="s">
        <v>10</v>
      </c>
      <c r="E12" s="12" t="s">
        <v>11</v>
      </c>
      <c r="F12" s="13" t="s">
        <v>26</v>
      </c>
      <c r="G12" s="34"/>
      <c r="H12" s="46">
        <f>2000000+761655</f>
        <v>2761655</v>
      </c>
      <c r="I12" s="46"/>
      <c r="J12" s="46">
        <f>562181.22+388421.26</f>
        <v>950602.48</v>
      </c>
      <c r="K12" s="31"/>
      <c r="L12" s="41"/>
      <c r="M12" s="31"/>
      <c r="N12" s="31"/>
      <c r="O12" s="39"/>
      <c r="P12" s="39"/>
      <c r="Q12" s="39"/>
      <c r="R12" s="39"/>
      <c r="S12" s="39"/>
      <c r="T12" s="31"/>
      <c r="U12" s="31">
        <f>K12+L12+M12+T12+N12+O12+P12</f>
        <v>0</v>
      </c>
      <c r="V12" s="32">
        <f>G12+H12-J12-U12</f>
        <v>1811052.52</v>
      </c>
    </row>
    <row r="13" spans="2:23" ht="52.5" customHeight="1" x14ac:dyDescent="0.25">
      <c r="B13" s="10" t="s">
        <v>8</v>
      </c>
      <c r="C13" s="10" t="s">
        <v>9</v>
      </c>
      <c r="D13" s="11" t="s">
        <v>10</v>
      </c>
      <c r="E13" s="12" t="s">
        <v>12</v>
      </c>
      <c r="F13" s="13" t="s">
        <v>26</v>
      </c>
      <c r="G13" s="34"/>
      <c r="H13" s="46">
        <f>3000000+561802</f>
        <v>3561802</v>
      </c>
      <c r="I13" s="46"/>
      <c r="J13" s="46">
        <f>1476427+361737.9</f>
        <v>1838164.9</v>
      </c>
      <c r="K13" s="31"/>
      <c r="L13" s="41"/>
      <c r="M13" s="31"/>
      <c r="N13" s="31"/>
      <c r="O13" s="39"/>
      <c r="P13" s="39"/>
      <c r="Q13" s="39"/>
      <c r="R13" s="39"/>
      <c r="S13" s="39"/>
      <c r="T13" s="31"/>
      <c r="U13" s="31">
        <f t="shared" ref="U13:U25" si="4">K13+L13+M13+T13+N13+O13+P13</f>
        <v>0</v>
      </c>
      <c r="V13" s="32">
        <f t="shared" ref="V13:V17" si="5">G13+H13-J13-U13</f>
        <v>1723637.1</v>
      </c>
    </row>
    <row r="14" spans="2:23" ht="67.5" customHeight="1" x14ac:dyDescent="0.25">
      <c r="B14" s="10" t="s">
        <v>8</v>
      </c>
      <c r="C14" s="10" t="s">
        <v>9</v>
      </c>
      <c r="D14" s="11" t="s">
        <v>10</v>
      </c>
      <c r="E14" s="12" t="s">
        <v>13</v>
      </c>
      <c r="F14" s="13" t="s">
        <v>26</v>
      </c>
      <c r="G14" s="34"/>
      <c r="H14" s="46">
        <f>700000+125371</f>
        <v>825371</v>
      </c>
      <c r="I14" s="46"/>
      <c r="J14" s="46">
        <f>303570.6+184086.6</f>
        <v>487657.19999999995</v>
      </c>
      <c r="K14" s="31"/>
      <c r="L14" s="41"/>
      <c r="M14" s="31"/>
      <c r="N14" s="31"/>
      <c r="O14" s="39"/>
      <c r="P14" s="39"/>
      <c r="Q14" s="39"/>
      <c r="R14" s="39"/>
      <c r="S14" s="39"/>
      <c r="T14" s="31"/>
      <c r="U14" s="31">
        <f>K14+L14+M14+N14+O14+P14+Q14+R14+S14+T14</f>
        <v>0</v>
      </c>
      <c r="V14" s="32">
        <f t="shared" si="5"/>
        <v>337713.80000000005</v>
      </c>
    </row>
    <row r="15" spans="2:23" ht="68.25" customHeight="1" x14ac:dyDescent="0.25">
      <c r="B15" s="10" t="s">
        <v>8</v>
      </c>
      <c r="C15" s="10" t="s">
        <v>9</v>
      </c>
      <c r="D15" s="11" t="s">
        <v>10</v>
      </c>
      <c r="E15" s="12" t="s">
        <v>14</v>
      </c>
      <c r="F15" s="13" t="s">
        <v>26</v>
      </c>
      <c r="G15" s="34"/>
      <c r="H15" s="46">
        <f>3000000+(-751155)</f>
        <v>2248845</v>
      </c>
      <c r="I15" s="46"/>
      <c r="J15" s="46">
        <f>768055.4+358304.28+259247.43</f>
        <v>1385607.11</v>
      </c>
      <c r="K15" s="31"/>
      <c r="L15" s="41"/>
      <c r="M15" s="41"/>
      <c r="N15" s="31"/>
      <c r="O15" s="39"/>
      <c r="P15" s="39"/>
      <c r="Q15" s="39"/>
      <c r="R15" s="39"/>
      <c r="S15" s="39"/>
      <c r="T15" s="31"/>
      <c r="U15" s="31">
        <f t="shared" si="4"/>
        <v>0</v>
      </c>
      <c r="V15" s="32">
        <f t="shared" si="5"/>
        <v>863237.8899999999</v>
      </c>
    </row>
    <row r="16" spans="2:23" ht="52.5" customHeight="1" x14ac:dyDescent="0.25">
      <c r="B16" s="10" t="s">
        <v>8</v>
      </c>
      <c r="C16" s="10" t="s">
        <v>9</v>
      </c>
      <c r="D16" s="11" t="s">
        <v>10</v>
      </c>
      <c r="E16" s="12" t="s">
        <v>15</v>
      </c>
      <c r="F16" s="13" t="s">
        <v>25</v>
      </c>
      <c r="G16" s="34"/>
      <c r="H16" s="46">
        <f>1000000+2939571+70000</f>
        <v>4009571</v>
      </c>
      <c r="I16" s="46"/>
      <c r="J16" s="46">
        <f>0+18890</f>
        <v>18890</v>
      </c>
      <c r="K16" s="31"/>
      <c r="L16" s="41"/>
      <c r="M16" s="31"/>
      <c r="N16" s="31"/>
      <c r="O16" s="39"/>
      <c r="P16" s="39"/>
      <c r="Q16" s="39"/>
      <c r="R16" s="39"/>
      <c r="S16" s="39"/>
      <c r="T16" s="31"/>
      <c r="U16" s="31">
        <f t="shared" si="4"/>
        <v>0</v>
      </c>
      <c r="V16" s="32">
        <f t="shared" si="5"/>
        <v>3990681</v>
      </c>
    </row>
    <row r="17" spans="2:22" ht="60" customHeight="1" x14ac:dyDescent="0.25">
      <c r="B17" s="10" t="s">
        <v>8</v>
      </c>
      <c r="C17" s="10" t="s">
        <v>9</v>
      </c>
      <c r="D17" s="11" t="s">
        <v>10</v>
      </c>
      <c r="E17" s="12" t="s">
        <v>46</v>
      </c>
      <c r="F17" s="13" t="s">
        <v>26</v>
      </c>
      <c r="G17" s="34"/>
      <c r="H17" s="46">
        <f>18000+(-1078)</f>
        <v>16922</v>
      </c>
      <c r="I17" s="46"/>
      <c r="J17" s="46">
        <f>6480+10442</f>
        <v>16922</v>
      </c>
      <c r="K17" s="31"/>
      <c r="L17" s="31"/>
      <c r="M17" s="31"/>
      <c r="N17" s="31"/>
      <c r="O17" s="39"/>
      <c r="P17" s="39"/>
      <c r="Q17" s="39"/>
      <c r="R17" s="39"/>
      <c r="S17" s="39"/>
      <c r="T17" s="31"/>
      <c r="U17" s="31">
        <f t="shared" si="4"/>
        <v>0</v>
      </c>
      <c r="V17" s="32">
        <f t="shared" si="5"/>
        <v>0</v>
      </c>
    </row>
    <row r="18" spans="2:22" ht="28.5" x14ac:dyDescent="0.25">
      <c r="B18" s="3" t="s">
        <v>33</v>
      </c>
      <c r="C18" s="3" t="s">
        <v>17</v>
      </c>
      <c r="D18" s="14" t="s">
        <v>18</v>
      </c>
      <c r="E18" s="14"/>
      <c r="F18" s="15"/>
      <c r="G18" s="35">
        <f>G19+G20+G21</f>
        <v>0</v>
      </c>
      <c r="H18" s="43">
        <f>H19+H20+H21</f>
        <v>2903528</v>
      </c>
      <c r="I18" s="43">
        <f>I19+I20+I21</f>
        <v>0</v>
      </c>
      <c r="J18" s="43">
        <f>J19+J20+J21</f>
        <v>1506721.8599999999</v>
      </c>
      <c r="K18" s="43">
        <f t="shared" ref="K18:V18" si="6">K19+K20+K21</f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0</v>
      </c>
      <c r="Q18" s="43">
        <f t="shared" si="6"/>
        <v>0</v>
      </c>
      <c r="R18" s="43">
        <f t="shared" si="6"/>
        <v>0</v>
      </c>
      <c r="S18" s="43">
        <f t="shared" si="6"/>
        <v>0</v>
      </c>
      <c r="T18" s="43">
        <f t="shared" si="6"/>
        <v>0</v>
      </c>
      <c r="U18" s="43">
        <f t="shared" si="6"/>
        <v>0</v>
      </c>
      <c r="V18" s="43">
        <f t="shared" si="6"/>
        <v>1396806.1400000001</v>
      </c>
    </row>
    <row r="19" spans="2:22" ht="54.75" customHeight="1" x14ac:dyDescent="0.25">
      <c r="B19" s="10" t="s">
        <v>16</v>
      </c>
      <c r="C19" s="10" t="s">
        <v>17</v>
      </c>
      <c r="D19" s="16" t="s">
        <v>18</v>
      </c>
      <c r="E19" s="12" t="s">
        <v>34</v>
      </c>
      <c r="F19" s="17">
        <v>2021</v>
      </c>
      <c r="G19" s="51"/>
      <c r="H19" s="47">
        <f>1000000+270284+(-1270284)</f>
        <v>0</v>
      </c>
      <c r="I19" s="47"/>
      <c r="J19" s="47">
        <v>0</v>
      </c>
      <c r="K19" s="31"/>
      <c r="L19" s="41"/>
      <c r="M19" s="31"/>
      <c r="N19" s="31"/>
      <c r="O19" s="39"/>
      <c r="P19" s="39"/>
      <c r="Q19" s="39"/>
      <c r="R19" s="39"/>
      <c r="S19" s="39"/>
      <c r="T19" s="31"/>
      <c r="U19" s="31">
        <f>K19+L19+M19+N19+O19+P19+Q19+R19+S19+T19</f>
        <v>0</v>
      </c>
      <c r="V19" s="32">
        <f>G19+H19+I19-J19-U19</f>
        <v>0</v>
      </c>
    </row>
    <row r="20" spans="2:22" ht="51" customHeight="1" x14ac:dyDescent="0.25">
      <c r="B20" s="10" t="s">
        <v>16</v>
      </c>
      <c r="C20" s="10" t="s">
        <v>17</v>
      </c>
      <c r="D20" s="16" t="s">
        <v>18</v>
      </c>
      <c r="E20" s="12" t="s">
        <v>19</v>
      </c>
      <c r="F20" s="17">
        <v>2021</v>
      </c>
      <c r="G20" s="51"/>
      <c r="H20" s="47">
        <f>653510+990018</f>
        <v>1643528</v>
      </c>
      <c r="I20" s="47"/>
      <c r="J20" s="47">
        <f>12990.6+331134.26+22680</f>
        <v>366804.86</v>
      </c>
      <c r="K20" s="31"/>
      <c r="L20" s="41"/>
      <c r="M20" s="31"/>
      <c r="N20" s="31"/>
      <c r="O20" s="39"/>
      <c r="P20" s="39"/>
      <c r="Q20" s="39"/>
      <c r="R20" s="39"/>
      <c r="S20" s="39"/>
      <c r="T20" s="31"/>
      <c r="U20" s="31">
        <f t="shared" ref="U20:U21" si="7">K20+L20+M20+N20+O20+P20+Q20+R20+S20+T20</f>
        <v>0</v>
      </c>
      <c r="V20" s="32">
        <f t="shared" ref="V20:V31" si="8">G20+H20-J20-U20</f>
        <v>1276723.1400000001</v>
      </c>
    </row>
    <row r="21" spans="2:22" ht="51" customHeight="1" x14ac:dyDescent="0.25">
      <c r="B21" s="10" t="s">
        <v>16</v>
      </c>
      <c r="C21" s="10" t="s">
        <v>17</v>
      </c>
      <c r="D21" s="16" t="s">
        <v>18</v>
      </c>
      <c r="E21" s="12" t="s">
        <v>20</v>
      </c>
      <c r="F21" s="17">
        <v>2021</v>
      </c>
      <c r="G21" s="51"/>
      <c r="H21" s="47">
        <f>1000000+328922+(-68922)</f>
        <v>1260000</v>
      </c>
      <c r="I21" s="47"/>
      <c r="J21" s="47">
        <f>415749+691768+32400</f>
        <v>1139917</v>
      </c>
      <c r="K21" s="31"/>
      <c r="L21" s="41"/>
      <c r="M21" s="31"/>
      <c r="N21" s="31"/>
      <c r="O21" s="39"/>
      <c r="P21" s="39"/>
      <c r="Q21" s="39"/>
      <c r="R21" s="39"/>
      <c r="S21" s="39"/>
      <c r="T21" s="31"/>
      <c r="U21" s="31">
        <f t="shared" si="7"/>
        <v>0</v>
      </c>
      <c r="V21" s="32">
        <f t="shared" si="8"/>
        <v>120083</v>
      </c>
    </row>
    <row r="22" spans="2:22" ht="57" x14ac:dyDescent="0.25">
      <c r="B22" s="18" t="s">
        <v>21</v>
      </c>
      <c r="C22" s="3"/>
      <c r="D22" s="9" t="s">
        <v>35</v>
      </c>
      <c r="E22" s="19"/>
      <c r="F22" s="19"/>
      <c r="G22" s="33">
        <f>G23</f>
        <v>0</v>
      </c>
      <c r="H22" s="44">
        <f>H23</f>
        <v>50383968.820000008</v>
      </c>
      <c r="I22" s="44">
        <f>I23</f>
        <v>0</v>
      </c>
      <c r="J22" s="44">
        <f>J23</f>
        <v>30749783.909999996</v>
      </c>
      <c r="K22" s="44">
        <f t="shared" ref="K22:U22" si="9">K23</f>
        <v>0</v>
      </c>
      <c r="L22" s="42">
        <f t="shared" si="9"/>
        <v>0</v>
      </c>
      <c r="M22" s="33">
        <f t="shared" si="9"/>
        <v>0</v>
      </c>
      <c r="N22" s="33">
        <f t="shared" si="9"/>
        <v>0</v>
      </c>
      <c r="O22" s="38">
        <f t="shared" si="9"/>
        <v>0</v>
      </c>
      <c r="P22" s="38">
        <f t="shared" si="9"/>
        <v>0</v>
      </c>
      <c r="Q22" s="38">
        <f t="shared" si="9"/>
        <v>0</v>
      </c>
      <c r="R22" s="38">
        <f t="shared" si="9"/>
        <v>0</v>
      </c>
      <c r="S22" s="38">
        <f t="shared" si="9"/>
        <v>0</v>
      </c>
      <c r="T22" s="33">
        <f t="shared" si="9"/>
        <v>0</v>
      </c>
      <c r="U22" s="33">
        <f t="shared" si="9"/>
        <v>0</v>
      </c>
      <c r="V22" s="62">
        <f t="shared" si="8"/>
        <v>19634184.910000011</v>
      </c>
    </row>
    <row r="23" spans="2:22" ht="57" x14ac:dyDescent="0.25">
      <c r="B23" s="18" t="s">
        <v>37</v>
      </c>
      <c r="C23" s="3"/>
      <c r="D23" s="9" t="s">
        <v>36</v>
      </c>
      <c r="E23" s="19"/>
      <c r="F23" s="19"/>
      <c r="G23" s="33">
        <f>G24+G26+G29+G33</f>
        <v>0</v>
      </c>
      <c r="H23" s="33">
        <f>H24+H26+H29+H33</f>
        <v>50383968.820000008</v>
      </c>
      <c r="I23" s="33">
        <f>I24+I26+I29+I33</f>
        <v>0</v>
      </c>
      <c r="J23" s="33">
        <f>J24+J26+J29+J33</f>
        <v>30749783.909999996</v>
      </c>
      <c r="K23" s="33">
        <f t="shared" ref="K23:U23" si="10">K24+K26+K29+K33</f>
        <v>0</v>
      </c>
      <c r="L23" s="33">
        <f t="shared" si="10"/>
        <v>0</v>
      </c>
      <c r="M23" s="33">
        <f t="shared" si="10"/>
        <v>0</v>
      </c>
      <c r="N23" s="33">
        <f t="shared" si="10"/>
        <v>0</v>
      </c>
      <c r="O23" s="33">
        <f t="shared" si="10"/>
        <v>0</v>
      </c>
      <c r="P23" s="33">
        <f t="shared" si="10"/>
        <v>0</v>
      </c>
      <c r="Q23" s="33">
        <f t="shared" si="10"/>
        <v>0</v>
      </c>
      <c r="R23" s="33">
        <f t="shared" si="10"/>
        <v>0</v>
      </c>
      <c r="S23" s="33">
        <f t="shared" si="10"/>
        <v>0</v>
      </c>
      <c r="T23" s="33">
        <f t="shared" si="10"/>
        <v>0</v>
      </c>
      <c r="U23" s="33">
        <f t="shared" si="10"/>
        <v>0</v>
      </c>
      <c r="V23" s="62">
        <f>G23+H23+I23-J23-U23</f>
        <v>19634184.910000011</v>
      </c>
    </row>
    <row r="24" spans="2:22" ht="28.5" x14ac:dyDescent="0.25">
      <c r="B24" s="3" t="s">
        <v>38</v>
      </c>
      <c r="C24" s="3" t="s">
        <v>9</v>
      </c>
      <c r="D24" s="9" t="s">
        <v>10</v>
      </c>
      <c r="E24" s="19"/>
      <c r="F24" s="19"/>
      <c r="G24" s="33">
        <f>G25</f>
        <v>0</v>
      </c>
      <c r="H24" s="33">
        <f>H25</f>
        <v>1171536.08</v>
      </c>
      <c r="I24" s="33">
        <f>I25</f>
        <v>0</v>
      </c>
      <c r="J24" s="33">
        <f>J25</f>
        <v>0</v>
      </c>
      <c r="K24" s="33">
        <f t="shared" ref="K24:T24" si="11">K25</f>
        <v>0</v>
      </c>
      <c r="L24" s="33">
        <f t="shared" si="11"/>
        <v>0</v>
      </c>
      <c r="M24" s="33">
        <f t="shared" si="11"/>
        <v>0</v>
      </c>
      <c r="N24" s="33">
        <f t="shared" si="11"/>
        <v>0</v>
      </c>
      <c r="O24" s="33">
        <f t="shared" si="11"/>
        <v>0</v>
      </c>
      <c r="P24" s="33">
        <f t="shared" si="11"/>
        <v>0</v>
      </c>
      <c r="Q24" s="33">
        <f t="shared" si="11"/>
        <v>0</v>
      </c>
      <c r="R24" s="33">
        <f t="shared" si="11"/>
        <v>0</v>
      </c>
      <c r="S24" s="33">
        <f t="shared" si="11"/>
        <v>0</v>
      </c>
      <c r="T24" s="33">
        <f t="shared" si="11"/>
        <v>0</v>
      </c>
      <c r="U24" s="32">
        <f t="shared" si="4"/>
        <v>0</v>
      </c>
      <c r="V24" s="32">
        <f t="shared" si="8"/>
        <v>1171536.08</v>
      </c>
    </row>
    <row r="25" spans="2:22" ht="52.5" customHeight="1" x14ac:dyDescent="0.25">
      <c r="B25" s="10" t="s">
        <v>8</v>
      </c>
      <c r="C25" s="10" t="s">
        <v>9</v>
      </c>
      <c r="D25" s="11" t="s">
        <v>10</v>
      </c>
      <c r="E25" s="50" t="s">
        <v>39</v>
      </c>
      <c r="F25" s="17">
        <v>2021</v>
      </c>
      <c r="G25" s="34"/>
      <c r="H25" s="46">
        <f>300000+2676620+(-1805083.92)</f>
        <v>1171536.08</v>
      </c>
      <c r="I25" s="46"/>
      <c r="J25" s="46">
        <v>0</v>
      </c>
      <c r="K25" s="44"/>
      <c r="L25" s="42"/>
      <c r="M25" s="33"/>
      <c r="N25" s="33"/>
      <c r="O25" s="38"/>
      <c r="P25" s="38"/>
      <c r="Q25" s="38"/>
      <c r="R25" s="38"/>
      <c r="S25" s="38"/>
      <c r="T25" s="33"/>
      <c r="U25" s="31">
        <f t="shared" si="4"/>
        <v>0</v>
      </c>
      <c r="V25" s="32">
        <f t="shared" si="8"/>
        <v>1171536.08</v>
      </c>
    </row>
    <row r="26" spans="2:22" ht="28.5" x14ac:dyDescent="0.25">
      <c r="B26" s="52" t="s">
        <v>42</v>
      </c>
      <c r="C26" s="53" t="s">
        <v>17</v>
      </c>
      <c r="D26" s="54" t="s">
        <v>41</v>
      </c>
      <c r="E26" s="19"/>
      <c r="F26" s="17"/>
      <c r="G26" s="33">
        <f>G27+G28</f>
        <v>0</v>
      </c>
      <c r="H26" s="33">
        <f t="shared" ref="H26:V26" si="12">H27+H28</f>
        <v>15695364.98</v>
      </c>
      <c r="I26" s="33">
        <f t="shared" si="12"/>
        <v>0</v>
      </c>
      <c r="J26" s="33">
        <f t="shared" si="12"/>
        <v>5610994.7599999998</v>
      </c>
      <c r="K26" s="33">
        <f t="shared" si="12"/>
        <v>0</v>
      </c>
      <c r="L26" s="33">
        <f t="shared" si="12"/>
        <v>0</v>
      </c>
      <c r="M26" s="33">
        <f t="shared" si="12"/>
        <v>0</v>
      </c>
      <c r="N26" s="33">
        <f t="shared" si="12"/>
        <v>0</v>
      </c>
      <c r="O26" s="33">
        <f t="shared" si="12"/>
        <v>0</v>
      </c>
      <c r="P26" s="33">
        <f t="shared" si="12"/>
        <v>0</v>
      </c>
      <c r="Q26" s="33">
        <f t="shared" si="12"/>
        <v>0</v>
      </c>
      <c r="R26" s="33">
        <f t="shared" si="12"/>
        <v>0</v>
      </c>
      <c r="S26" s="33">
        <f t="shared" si="12"/>
        <v>0</v>
      </c>
      <c r="T26" s="33">
        <f t="shared" si="12"/>
        <v>0</v>
      </c>
      <c r="U26" s="33">
        <f t="shared" si="12"/>
        <v>0</v>
      </c>
      <c r="V26" s="44">
        <f t="shared" si="12"/>
        <v>10084370.220000001</v>
      </c>
    </row>
    <row r="27" spans="2:22" ht="97.5" customHeight="1" x14ac:dyDescent="0.25">
      <c r="B27" s="55" t="s">
        <v>40</v>
      </c>
      <c r="C27" s="56" t="s">
        <v>17</v>
      </c>
      <c r="D27" s="57" t="s">
        <v>41</v>
      </c>
      <c r="E27" s="50" t="s">
        <v>43</v>
      </c>
      <c r="F27" s="17" t="s">
        <v>26</v>
      </c>
      <c r="G27" s="34"/>
      <c r="H27" s="46">
        <f>500000+18645680.48+(-1834013)+(-16792858)+(-518809.48)</f>
        <v>4.6566128730773926E-10</v>
      </c>
      <c r="I27" s="46"/>
      <c r="J27" s="46">
        <v>0</v>
      </c>
      <c r="K27" s="44"/>
      <c r="L27" s="42"/>
      <c r="M27" s="33"/>
      <c r="N27" s="33"/>
      <c r="O27" s="38"/>
      <c r="P27" s="38"/>
      <c r="Q27" s="38"/>
      <c r="R27" s="38"/>
      <c r="S27" s="38"/>
      <c r="T27" s="33"/>
      <c r="U27" s="31">
        <f>SUM(K27:T27)</f>
        <v>0</v>
      </c>
      <c r="V27" s="32">
        <f>G27+H27+I27-J27-U27</f>
        <v>4.6566128730773926E-10</v>
      </c>
    </row>
    <row r="28" spans="2:22" ht="65.25" customHeight="1" x14ac:dyDescent="0.25">
      <c r="B28" s="55" t="s">
        <v>40</v>
      </c>
      <c r="C28" s="56" t="s">
        <v>17</v>
      </c>
      <c r="D28" s="57" t="s">
        <v>41</v>
      </c>
      <c r="E28" s="50" t="s">
        <v>51</v>
      </c>
      <c r="F28" s="17" t="s">
        <v>26</v>
      </c>
      <c r="G28" s="34"/>
      <c r="H28" s="46">
        <f>6100444+449718.28+437463+8707739.7</f>
        <v>15695364.98</v>
      </c>
      <c r="I28" s="46"/>
      <c r="J28" s="46">
        <f>1198592.35+847494.55+1485378.78+2079529.08</f>
        <v>5610994.7599999998</v>
      </c>
      <c r="K28" s="44"/>
      <c r="L28" s="79"/>
      <c r="M28" s="33"/>
      <c r="N28" s="78"/>
      <c r="O28" s="38"/>
      <c r="P28" s="38"/>
      <c r="Q28" s="77"/>
      <c r="R28" s="38"/>
      <c r="S28" s="38"/>
      <c r="T28" s="33"/>
      <c r="U28" s="31">
        <f>SUM(K28:T28)</f>
        <v>0</v>
      </c>
      <c r="V28" s="32">
        <f>G28+H28+I28-J28-U28</f>
        <v>10084370.220000001</v>
      </c>
    </row>
    <row r="29" spans="2:22" ht="42.75" x14ac:dyDescent="0.25">
      <c r="B29" s="18" t="s">
        <v>44</v>
      </c>
      <c r="C29" s="3" t="s">
        <v>17</v>
      </c>
      <c r="D29" s="4" t="s">
        <v>23</v>
      </c>
      <c r="E29" s="9"/>
      <c r="F29" s="1"/>
      <c r="G29" s="33">
        <f>G30+G31+G32</f>
        <v>0</v>
      </c>
      <c r="H29" s="44">
        <f>H30+H31+H32</f>
        <v>28029339.760000002</v>
      </c>
      <c r="I29" s="44">
        <f>I30+I31+I32</f>
        <v>0</v>
      </c>
      <c r="J29" s="44">
        <f>J30+J31+J32</f>
        <v>24143296.329999998</v>
      </c>
      <c r="K29" s="44">
        <f t="shared" ref="K29:U29" si="13">K30+K31+K32</f>
        <v>0</v>
      </c>
      <c r="L29" s="42">
        <f t="shared" si="13"/>
        <v>0</v>
      </c>
      <c r="M29" s="33">
        <f t="shared" si="13"/>
        <v>0</v>
      </c>
      <c r="N29" s="33">
        <f t="shared" si="13"/>
        <v>0</v>
      </c>
      <c r="O29" s="38">
        <f t="shared" si="13"/>
        <v>0</v>
      </c>
      <c r="P29" s="38">
        <f t="shared" si="13"/>
        <v>0</v>
      </c>
      <c r="Q29" s="38">
        <f t="shared" si="13"/>
        <v>0</v>
      </c>
      <c r="R29" s="38">
        <f t="shared" si="13"/>
        <v>0</v>
      </c>
      <c r="S29" s="38">
        <f t="shared" si="13"/>
        <v>0</v>
      </c>
      <c r="T29" s="38">
        <f t="shared" si="13"/>
        <v>0</v>
      </c>
      <c r="U29" s="33">
        <f t="shared" si="13"/>
        <v>0</v>
      </c>
      <c r="V29" s="32">
        <f>G29+H29+I29-J29-U29</f>
        <v>3886043.4300000034</v>
      </c>
    </row>
    <row r="30" spans="2:22" ht="56.25" customHeight="1" x14ac:dyDescent="0.25">
      <c r="B30" s="20" t="s">
        <v>22</v>
      </c>
      <c r="C30" s="10" t="s">
        <v>17</v>
      </c>
      <c r="D30" s="21" t="s">
        <v>23</v>
      </c>
      <c r="E30" s="22" t="s">
        <v>45</v>
      </c>
      <c r="F30" s="23" t="s">
        <v>26</v>
      </c>
      <c r="G30" s="58"/>
      <c r="H30" s="45">
        <f>2500000+1228367.53+(-0.3)</f>
        <v>3728367.2300000004</v>
      </c>
      <c r="I30" s="45"/>
      <c r="J30" s="72">
        <f>1479319.67+1730266.03+434316.53+21000+48600+14865</f>
        <v>3728367.2300000004</v>
      </c>
      <c r="K30" s="73"/>
      <c r="L30" s="74"/>
      <c r="M30" s="75"/>
      <c r="N30" s="75"/>
      <c r="O30" s="76"/>
      <c r="P30" s="76"/>
      <c r="Q30" s="76"/>
      <c r="R30" s="76"/>
      <c r="S30" s="39"/>
      <c r="T30" s="31"/>
      <c r="U30" s="31">
        <f>K30+L30+M30+N30+O30+P30+Q30+R30+S30+T30</f>
        <v>0</v>
      </c>
      <c r="V30" s="32">
        <f t="shared" si="8"/>
        <v>0</v>
      </c>
    </row>
    <row r="31" spans="2:22" ht="56.25" customHeight="1" x14ac:dyDescent="0.25">
      <c r="B31" s="20" t="s">
        <v>22</v>
      </c>
      <c r="C31" s="10" t="s">
        <v>17</v>
      </c>
      <c r="D31" s="21" t="s">
        <v>23</v>
      </c>
      <c r="E31" s="24" t="s">
        <v>24</v>
      </c>
      <c r="F31" s="25" t="s">
        <v>25</v>
      </c>
      <c r="G31" s="58"/>
      <c r="H31" s="45">
        <f>2000000+10911559.56+(-437463)+(-200000)</f>
        <v>12274096.560000001</v>
      </c>
      <c r="I31" s="45"/>
      <c r="J31" s="72">
        <f>1560018+1394268+2875454.4+194608.8+141800.47+2221931.16</f>
        <v>8388080.8300000001</v>
      </c>
      <c r="K31" s="75"/>
      <c r="L31" s="74"/>
      <c r="M31" s="75"/>
      <c r="N31" s="75"/>
      <c r="O31" s="76"/>
      <c r="P31" s="76"/>
      <c r="Q31" s="76"/>
      <c r="R31" s="76"/>
      <c r="S31" s="39"/>
      <c r="T31" s="31"/>
      <c r="U31" s="31">
        <f t="shared" ref="U31:U35" si="14">K31+L31+M31+N31+O31+P31+Q31+R31+S31+T31</f>
        <v>0</v>
      </c>
      <c r="V31" s="32">
        <f t="shared" si="8"/>
        <v>3886015.7300000004</v>
      </c>
    </row>
    <row r="32" spans="2:22" ht="56.25" customHeight="1" x14ac:dyDescent="0.25">
      <c r="B32" s="20" t="s">
        <v>22</v>
      </c>
      <c r="C32" s="10" t="s">
        <v>17</v>
      </c>
      <c r="D32" s="21" t="s">
        <v>23</v>
      </c>
      <c r="E32" s="11" t="s">
        <v>27</v>
      </c>
      <c r="F32" s="13" t="s">
        <v>26</v>
      </c>
      <c r="G32" s="58"/>
      <c r="H32" s="45">
        <f>5000000+5351457.25+1834013+(-158594.28)</f>
        <v>12026875.970000001</v>
      </c>
      <c r="I32" s="45"/>
      <c r="J32" s="72">
        <f>404359.87+8007557.76+1423163.8+2191766.84</f>
        <v>12026848.27</v>
      </c>
      <c r="K32" s="75"/>
      <c r="L32" s="74"/>
      <c r="M32" s="75"/>
      <c r="N32" s="75"/>
      <c r="O32" s="76"/>
      <c r="P32" s="76"/>
      <c r="Q32" s="76"/>
      <c r="R32" s="76"/>
      <c r="S32" s="39"/>
      <c r="T32" s="31"/>
      <c r="U32" s="31">
        <f t="shared" si="14"/>
        <v>0</v>
      </c>
      <c r="V32" s="32">
        <f>G32+H32+I32-J32-U32</f>
        <v>27.700000001117587</v>
      </c>
    </row>
    <row r="33" spans="2:22" ht="31.5" customHeight="1" x14ac:dyDescent="0.25">
      <c r="B33" s="18" t="s">
        <v>48</v>
      </c>
      <c r="C33" s="3" t="s">
        <v>17</v>
      </c>
      <c r="D33" s="4" t="s">
        <v>49</v>
      </c>
      <c r="E33" s="9"/>
      <c r="F33" s="64"/>
      <c r="G33" s="69"/>
      <c r="H33" s="70">
        <f>H34+H35</f>
        <v>5487728</v>
      </c>
      <c r="I33" s="70">
        <f t="shared" ref="I33:V33" si="15">I34+I35</f>
        <v>0</v>
      </c>
      <c r="J33" s="70">
        <f t="shared" si="15"/>
        <v>995492.82000000007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0</v>
      </c>
      <c r="S33" s="70">
        <f t="shared" si="15"/>
        <v>0</v>
      </c>
      <c r="T33" s="70">
        <f t="shared" si="15"/>
        <v>0</v>
      </c>
      <c r="U33" s="70">
        <f t="shared" si="15"/>
        <v>0</v>
      </c>
      <c r="V33" s="71">
        <f t="shared" si="15"/>
        <v>4492235.18</v>
      </c>
    </row>
    <row r="34" spans="2:22" ht="54" customHeight="1" x14ac:dyDescent="0.25">
      <c r="B34" s="20" t="s">
        <v>16</v>
      </c>
      <c r="C34" s="10" t="s">
        <v>17</v>
      </c>
      <c r="D34" s="21" t="s">
        <v>49</v>
      </c>
      <c r="E34" s="11" t="s">
        <v>34</v>
      </c>
      <c r="F34" s="63">
        <v>2021</v>
      </c>
      <c r="G34" s="58"/>
      <c r="H34" s="65">
        <v>1270284</v>
      </c>
      <c r="I34" s="65"/>
      <c r="J34" s="65">
        <f>918064.38+77428.44</f>
        <v>995492.82000000007</v>
      </c>
      <c r="K34" s="61"/>
      <c r="L34" s="66"/>
      <c r="M34" s="67"/>
      <c r="N34" s="67"/>
      <c r="O34" s="68"/>
      <c r="P34" s="68"/>
      <c r="Q34" s="68"/>
      <c r="R34" s="68"/>
      <c r="S34" s="68"/>
      <c r="T34" s="67"/>
      <c r="U34" s="31">
        <f t="shared" si="14"/>
        <v>0</v>
      </c>
      <c r="V34" s="32">
        <f>G34+H34+I34-J34-U34</f>
        <v>274791.17999999993</v>
      </c>
    </row>
    <row r="35" spans="2:22" ht="54" customHeight="1" x14ac:dyDescent="0.25">
      <c r="B35" s="20" t="s">
        <v>16</v>
      </c>
      <c r="C35" s="10" t="s">
        <v>17</v>
      </c>
      <c r="D35" s="21" t="s">
        <v>49</v>
      </c>
      <c r="E35" s="11" t="s">
        <v>52</v>
      </c>
      <c r="F35" s="63">
        <v>2021</v>
      </c>
      <c r="G35" s="58"/>
      <c r="H35" s="65">
        <f>10692414+(-291124)+(-6183846)</f>
        <v>4217444</v>
      </c>
      <c r="I35" s="65"/>
      <c r="J35" s="65">
        <v>0</v>
      </c>
      <c r="K35" s="31"/>
      <c r="L35" s="66"/>
      <c r="M35" s="67"/>
      <c r="N35" s="67"/>
      <c r="O35" s="68"/>
      <c r="P35" s="68"/>
      <c r="Q35" s="68"/>
      <c r="R35" s="68"/>
      <c r="S35" s="68"/>
      <c r="T35" s="67"/>
      <c r="U35" s="31">
        <f t="shared" si="14"/>
        <v>0</v>
      </c>
      <c r="V35" s="32">
        <f>G35+H35+I35-J35-U35</f>
        <v>4217444</v>
      </c>
    </row>
    <row r="36" spans="2:22" ht="15.75" hidden="1" x14ac:dyDescent="0.25">
      <c r="B36" s="20"/>
      <c r="C36" s="10"/>
      <c r="D36" s="21"/>
      <c r="E36" s="11"/>
      <c r="F36" s="63"/>
      <c r="G36" s="58"/>
      <c r="H36" s="65"/>
      <c r="I36" s="65"/>
      <c r="J36" s="65"/>
      <c r="K36" s="31"/>
      <c r="L36" s="66"/>
      <c r="M36" s="67"/>
      <c r="N36" s="67"/>
      <c r="O36" s="68"/>
      <c r="P36" s="68"/>
      <c r="Q36" s="68"/>
      <c r="R36" s="68"/>
      <c r="S36" s="68"/>
      <c r="T36" s="67"/>
      <c r="U36" s="67"/>
      <c r="V36" s="32"/>
    </row>
    <row r="37" spans="2:22" ht="18.75" x14ac:dyDescent="0.25">
      <c r="B37" s="27"/>
      <c r="C37" s="27"/>
      <c r="D37" s="28" t="s">
        <v>28</v>
      </c>
      <c r="E37" s="29"/>
      <c r="F37" s="26"/>
      <c r="G37" s="36">
        <f t="shared" ref="G37:U37" si="16">G9+G22</f>
        <v>0</v>
      </c>
      <c r="H37" s="36">
        <f t="shared" si="16"/>
        <v>66711662.820000008</v>
      </c>
      <c r="I37" s="36">
        <f t="shared" si="16"/>
        <v>0</v>
      </c>
      <c r="J37" s="36">
        <f>J9+J22</f>
        <v>36954349.459999993</v>
      </c>
      <c r="K37" s="60">
        <f t="shared" si="16"/>
        <v>0</v>
      </c>
      <c r="L37" s="59">
        <f t="shared" si="16"/>
        <v>0</v>
      </c>
      <c r="M37" s="36">
        <f t="shared" si="16"/>
        <v>0</v>
      </c>
      <c r="N37" s="36">
        <f t="shared" si="16"/>
        <v>0</v>
      </c>
      <c r="O37" s="40">
        <f t="shared" si="16"/>
        <v>0</v>
      </c>
      <c r="P37" s="40">
        <f t="shared" si="16"/>
        <v>0</v>
      </c>
      <c r="Q37" s="40">
        <f t="shared" si="16"/>
        <v>0</v>
      </c>
      <c r="R37" s="40">
        <f t="shared" si="16"/>
        <v>0</v>
      </c>
      <c r="S37" s="40">
        <f t="shared" si="16"/>
        <v>0</v>
      </c>
      <c r="T37" s="40">
        <f t="shared" si="16"/>
        <v>0</v>
      </c>
      <c r="U37" s="36">
        <f t="shared" si="16"/>
        <v>0</v>
      </c>
      <c r="V37" s="32">
        <f>G37+H37-J37-U37</f>
        <v>29757313.360000014</v>
      </c>
    </row>
  </sheetData>
  <mergeCells count="13">
    <mergeCell ref="J1:V1"/>
    <mergeCell ref="K7:U7"/>
    <mergeCell ref="V7:V8"/>
    <mergeCell ref="B3:V3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31496062992125984" right="0.31496062992125984" top="0.35433070866141736" bottom="0.35433070866141736" header="0.31496062992125984" footer="0.31496062992125984"/>
  <pageSetup paperSize="9" scale="41" orientation="portrait" verticalDpi="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01.10.2021</vt:lpstr>
      <vt:lpstr>'01.10.2021'!Заголовки_для_друку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2021-10-18T07:30:09Z</cp:lastPrinted>
  <dcterms:created xsi:type="dcterms:W3CDTF">2020-12-09T11:46:46Z</dcterms:created>
  <dcterms:modified xsi:type="dcterms:W3CDTF">2021-10-26T12:33:01Z</dcterms:modified>
</cp:coreProperties>
</file>