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5"/>
  </bookViews>
  <sheets>
    <sheet name="dod 1 " sheetId="1" r:id="rId1"/>
    <sheet name="dod 2" sheetId="2" r:id="rId2"/>
    <sheet name="dod 3" sheetId="3" r:id="rId3"/>
    <sheet name="dod 4" sheetId="4" r:id="rId4"/>
    <sheet name="dod 5" sheetId="5" r:id="rId5"/>
    <sheet name="dod 6." sheetId="6" r:id="rId6"/>
    <sheet name="dod 7" sheetId="7" r:id="rId7"/>
  </sheets>
  <definedNames>
    <definedName name="_xlnm._FilterDatabase" localSheetId="2" hidden="1">'dod 3'!$A$11:$S$106</definedName>
    <definedName name="_xlnm._FilterDatabase" localSheetId="4" hidden="1">'dod 5'!$B$14:$P$82</definedName>
    <definedName name="_xlnm._FilterDatabase" localSheetId="5" hidden="1">'dod 6.'!$A$8:$P$73</definedName>
    <definedName name="Z_0033AAC2_B920_4F73_9D48_CFFB5C8BCEA7_.wvu.FilterData" localSheetId="2" hidden="1">'dod 3'!$11:$21</definedName>
    <definedName name="Z_05B646A5_B346_4D1A_B993_62183E8D364E_.wvu.FilterData" localSheetId="2" hidden="1">'dod 3'!$A$11:$S$108</definedName>
    <definedName name="Z_0DED55E7_6230_4958_BCE1_6D418833AED3_.wvu.FilterData" localSheetId="2" hidden="1">'dod 3'!$11:$21</definedName>
    <definedName name="Z_0E9CAA04_93B7_451C_85A9_461E9213A529_.wvu.FilterData" localSheetId="2" hidden="1">'dod 3'!$11:$21</definedName>
    <definedName name="Z_11AC6440_61C3_4852_8190_8999E8F40364_.wvu.FilterData" localSheetId="2" hidden="1">'dod 3'!$11:$104</definedName>
    <definedName name="Z_11AC6440_61C3_4852_8190_8999E8F40364_.wvu.FilterData" localSheetId="5" hidden="1">'dod 6.'!$A$8:$P$58</definedName>
    <definedName name="Z_1BDCE276_7339_44E6_B381_E5C4CEFAE7BF_.wvu.FilterData" localSheetId="5" hidden="1">'dod 6.'!$A$8:$P$73</definedName>
    <definedName name="Z_1C9132E7_CA75_44BA_8ABD_6F2BEE887752_.wvu.FilterData" localSheetId="2" hidden="1">'dod 3'!$11:$104</definedName>
    <definedName name="Z_1DEAC8BC_B765_49FE_9A02_C3463788AC3A_.wvu.FilterData" localSheetId="2" hidden="1">'dod 3'!$11:$104</definedName>
    <definedName name="Z_26A0A775_FB53_4947_8659_62553173BB7A_.wvu.FilterData" localSheetId="2" hidden="1">'dod 3'!$A$11:$S$106</definedName>
    <definedName name="Z_28997FF8_C6EF_4EB7_AE53_CE712CBB7746_.wvu.FilterData" localSheetId="2" hidden="1">'dod 3'!$11:$104</definedName>
    <definedName name="Z_28997FF8_C6EF_4EB7_AE53_CE712CBB7746_.wvu.FilterData" localSheetId="5" hidden="1">'dod 6.'!$A$8:$P$58</definedName>
    <definedName name="Z_2B21C675_AF65_49D3_9499_0872BF809CCE_.wvu.FilterData" localSheetId="2" hidden="1">'dod 3'!$11:$104</definedName>
    <definedName name="Z_31FC14EC_B4AA_4144_99F2_5D86B82BE01F_.wvu.FilterData" localSheetId="2" hidden="1">'dod 3'!$11:$104</definedName>
    <definedName name="Z_31FC14EC_B4AA_4144_99F2_5D86B82BE01F_.wvu.FilterData" localSheetId="5" hidden="1">'dod 6.'!$A$8:$P$58</definedName>
    <definedName name="Z_3C6734B6_C220_41DD_9B45_03CED7F17FB3_.wvu.FilterData" localSheetId="2" hidden="1">'dod 3'!$11:$11</definedName>
    <definedName name="Z_3E478DCD_EC0A_4AA2_A897_308C06E00A62_.wvu.FilterData" localSheetId="2" hidden="1">'dod 3'!$A$11:$S$108</definedName>
    <definedName name="Z_3E478DCD_EC0A_4AA2_A897_308C06E00A62_.wvu.FilterData" localSheetId="5" hidden="1">'dod 6.'!$A$8:$P$73</definedName>
    <definedName name="Z_4414F7FE_09B9_48B9_9B91_BDA3C39C803A_.wvu.FilterData" localSheetId="2" hidden="1">'dod 3'!$11:$104</definedName>
    <definedName name="Z_445F1775_CED9_4D0B_A7BD_41493DC3AC4E_.wvu.FilterData" localSheetId="2" hidden="1">'dod 3'!$11:$104</definedName>
    <definedName name="Z_445F1775_CED9_4D0B_A7BD_41493DC3AC4E_.wvu.FilterData" localSheetId="5" hidden="1">'dod 6.'!$A$8:$P$58</definedName>
    <definedName name="Z_469CC04F_31BA_448C_9D50_9E71518447B8_.wvu.FilterData" localSheetId="2" hidden="1">'dod 3'!$A$11:$S$108</definedName>
    <definedName name="Z_48361BAD_8962_4A12_AC97_C282DE613703_.wvu.FilterData" localSheetId="2" hidden="1">'dod 3'!$11:$104</definedName>
    <definedName name="Z_48361BAD_8962_4A12_AC97_C282DE613703_.wvu.FilterData" localSheetId="5" hidden="1">'dod 6.'!$A$8:$P$58</definedName>
    <definedName name="Z_54DB8D45_4502_4737_8D52_8D5C09276933_.wvu.FilterData" localSheetId="2" hidden="1">'dod 3'!$A$11:$HK$104</definedName>
    <definedName name="Z_56A43029_7913_4B2A_9B15_4E68CF4AEF53_.wvu.FilterData" localSheetId="2" hidden="1">'dod 3'!$11:$104</definedName>
    <definedName name="Z_56D99FDE_5699_44AD_AA0B_F2B3FC854751_.wvu.FilterData" localSheetId="5" hidden="1">'dod 6.'!$A$8:$P$73</definedName>
    <definedName name="Z_6F106A4C_0BDB_4B41_B249_ECCE803744DB_.wvu.FilterData" localSheetId="2" hidden="1">'dod 3'!$11:$104</definedName>
    <definedName name="Z_6F106A4C_0BDB_4B41_B249_ECCE803744DB_.wvu.FilterData" localSheetId="5" hidden="1">'dod 6.'!$A$8:$P$58</definedName>
    <definedName name="Z_81465847_164B_466E_A54B_CCFD935BE503_.wvu.FilterData" localSheetId="2" hidden="1">'dod 3'!$A$11:$S$108</definedName>
    <definedName name="Z_8ACD6896_2C32_485C_95AA_7BCA3249DD81_.wvu.FilterData" localSheetId="2" hidden="1">'dod 3'!$11:$104</definedName>
    <definedName name="Z_8ACD6896_2C32_485C_95AA_7BCA3249DD81_.wvu.FilterData" localSheetId="5" hidden="1">'dod 6.'!$A$8:$P$58</definedName>
    <definedName name="Z_8B83762C_0289_468A_B258_CF4837FE318E_.wvu.FilterData" localSheetId="2" hidden="1">'dod 3'!$A$11:$HK$104</definedName>
    <definedName name="Z_8EAF6A76_D45E_47A7_B89D_C380A02EB2AE_.wvu.Cols" localSheetId="6" hidden="1">'dod 7'!$A:$A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3'!$A$11:$S$108</definedName>
    <definedName name="Z_8EAF6A76_D45E_47A7_B89D_C380A02EB2AE_.wvu.FilterData" localSheetId="5" hidden="1">'dod 6.'!$A$8:$P$73</definedName>
    <definedName name="Z_8EAF6A76_D45E_47A7_B89D_C380A02EB2AE_.wvu.PrintArea" localSheetId="6" hidden="1">'dod 7'!$A$1:$G$25</definedName>
    <definedName name="Z_94835217_14EB_4233_9343_64DC109B621C_.wvu.FilterData" localSheetId="2" hidden="1">'dod 3'!$A$11:$S$108</definedName>
    <definedName name="Z_9721A3CD_3755_42CC_8166_6A911540B326_.wvu.FilterData" localSheetId="2" hidden="1">'dod 3'!$11:$104</definedName>
    <definedName name="Z_9721A3CD_3755_42CC_8166_6A911540B326_.wvu.FilterData" localSheetId="5" hidden="1">'dod 6.'!$A$8:$P$58</definedName>
    <definedName name="Z_9B78FD2B_9B01_4980_8301_268E668BE3A3_.wvu.FilterData" localSheetId="5" hidden="1">'dod 6.'!$A$8:$P$73</definedName>
    <definedName name="Z_9E47F7FB_2299_4731_9D48_129AD813B899_.wvu.FilterData" localSheetId="2" hidden="1">'dod 3'!$11:$21</definedName>
    <definedName name="Z_B24EFFB4_7561_4B2C_A446_3A3B42B84F18_.wvu.FilterData" localSheetId="2" hidden="1">'dod 3'!$A$11:$HK$104</definedName>
    <definedName name="Z_B79DC64E_FF8D_43DA_A470_9D3E3809D007_.wvu.FilterData" localSheetId="2" hidden="1">'dod 3'!$A$11:$HK$104</definedName>
    <definedName name="Z_C51CB9D0_868C_4048_B98E_075DB045FF17_.wvu.FilterData" localSheetId="2" hidden="1">'dod 3'!$A$11:$S$108</definedName>
    <definedName name="Z_C51CB9D0_868C_4048_B98E_075DB045FF17_.wvu.FilterData" localSheetId="5" hidden="1">'dod 6.'!$A$8:$P$73</definedName>
    <definedName name="Z_C82A7848_724A_498B_92F9_90C37C3827DB_.wvu.Cols" localSheetId="6" hidden="1">'dod 7'!$A:$A</definedName>
    <definedName name="Z_C82A7848_724A_498B_92F9_90C37C3827DB_.wvu.FilterData" localSheetId="1" hidden="1">'dod 2'!$B$11:$G$30</definedName>
    <definedName name="Z_C82A7848_724A_498B_92F9_90C37C3827DB_.wvu.FilterData" localSheetId="2" hidden="1">'dod 3'!$A$11:$S$108</definedName>
    <definedName name="Z_C82A7848_724A_498B_92F9_90C37C3827DB_.wvu.FilterData" localSheetId="5" hidden="1">'dod 6.'!$A$8:$P$73</definedName>
    <definedName name="Z_C82A7848_724A_498B_92F9_90C37C3827DB_.wvu.PrintArea" localSheetId="6" hidden="1">'dod 7'!$A$1:$G$25</definedName>
    <definedName name="Z_D045CBB3_E236_4B88_9BC4_A2FE8FE44B31_.wvu.FilterData" localSheetId="1" hidden="1">'dod 2'!$B$11:$G$30</definedName>
    <definedName name="Z_D045CBB3_E236_4B88_9BC4_A2FE8FE44B31_.wvu.FilterData" localSheetId="2" hidden="1">'dod 3'!$A$11:$S$108</definedName>
    <definedName name="Z_D045CBB3_E236_4B88_9BC4_A2FE8FE44B31_.wvu.FilterData" localSheetId="5" hidden="1">'dod 6.'!$A$8:$P$73</definedName>
    <definedName name="Z_D6A5DFF8_EF5E_40FF_A50E_B25B1F597FDE_.wvu.Cols" localSheetId="6" hidden="1">'dod 7'!$A:$A</definedName>
    <definedName name="Z_D6A5DFF8_EF5E_40FF_A50E_B25B1F597FDE_.wvu.FilterData" localSheetId="1" hidden="1">'dod 2'!$B$11:$G$30</definedName>
    <definedName name="Z_D6A5DFF8_EF5E_40FF_A50E_B25B1F597FDE_.wvu.FilterData" localSheetId="2" hidden="1">'dod 3'!$A$11:$S$106</definedName>
    <definedName name="Z_D6A5DFF8_EF5E_40FF_A50E_B25B1F597FDE_.wvu.FilterData" localSheetId="5" hidden="1">'dod 6.'!$A$8:$P$73</definedName>
    <definedName name="Z_D6A5DFF8_EF5E_40FF_A50E_B25B1F597FDE_.wvu.PrintArea" localSheetId="2" hidden="1">'dod 3'!$A$1:$P$108</definedName>
    <definedName name="Z_D6A5DFF8_EF5E_40FF_A50E_B25B1F597FDE_.wvu.PrintArea" localSheetId="5" hidden="1">'dod 6.'!$A$1:$J$77</definedName>
    <definedName name="Z_D6A5DFF8_EF5E_40FF_A50E_B25B1F597FDE_.wvu.PrintArea" localSheetId="6" hidden="1">'dod 7'!$A$1:$G$25</definedName>
    <definedName name="Z_D6A5DFF8_EF5E_40FF_A50E_B25B1F597FDE_.wvu.PrintTitles" localSheetId="2" hidden="1">'dod 3'!$7:$10</definedName>
    <definedName name="Z_D6A5DFF8_EF5E_40FF_A50E_B25B1F597FDE_.wvu.PrintTitles" localSheetId="5" hidden="1">'dod 6.'!$7:$8</definedName>
    <definedName name="Z_D6A5DFF8_EF5E_40FF_A50E_B25B1F597FDE_.wvu.Rows" localSheetId="1" hidden="1">'dod 2'!$18:$18,'dod 2'!$29:$29</definedName>
    <definedName name="Z_D6A5DFF8_EF5E_40FF_A50E_B25B1F597FDE_.wvu.Rows" localSheetId="2" hidden="1">'dod 3'!$30:$30</definedName>
    <definedName name="Z_D73771AD_3E6F_402A_9FCF_E7AE9A12229F_.wvu.FilterData" localSheetId="5" hidden="1">'dod 6.'!$A$8:$P$73</definedName>
    <definedName name="Z_DEDEAA64_51CB_4221_8ECB_BE176A2F537D_.wvu.FilterData" localSheetId="2" hidden="1">'dod 3'!$11:$104</definedName>
    <definedName name="Z_DF5E3046_FFAF_4551_8634_989A1D0D3888_.wvu.Cols" localSheetId="6" hidden="1">'dod 7'!$A:$A</definedName>
    <definedName name="Z_DF5E3046_FFAF_4551_8634_989A1D0D3888_.wvu.FilterData" localSheetId="1" hidden="1">'dod 2'!$B$11:$G$30</definedName>
    <definedName name="Z_DF5E3046_FFAF_4551_8634_989A1D0D3888_.wvu.FilterData" localSheetId="2" hidden="1">'dod 3'!$A$11:$S$108</definedName>
    <definedName name="Z_DF5E3046_FFAF_4551_8634_989A1D0D3888_.wvu.FilterData" localSheetId="5" hidden="1">'dod 6.'!$A$8:$P$73</definedName>
    <definedName name="Z_DF5E3046_FFAF_4551_8634_989A1D0D3888_.wvu.PrintArea" localSheetId="6" hidden="1">'dod 7'!$A$1:$G$25</definedName>
    <definedName name="Z_E03E1436_B621_4C8D_8DEA_D88962720410_.wvu.FilterData" localSheetId="5" hidden="1">'dod 6.'!$A$8:$P$73</definedName>
    <definedName name="Z_E1C403DE_F5B4_4778_BB71_C2DBA686D8F9_.wvu.FilterData" localSheetId="2" hidden="1">'dod 3'!$A$11:$HK$104</definedName>
    <definedName name="Z_E69209E9_3AD2_46BA_ADC5_0F4266D7A650_.wvu.FilterData" localSheetId="2" hidden="1">'dod 3'!$11:$21</definedName>
    <definedName name="Z_EB9C9FFE_0593_441C_AAA2_54860C1497B2_.wvu.FilterData" localSheetId="2" hidden="1">'dod 3'!$A$11:$HK$104</definedName>
    <definedName name="Z_EB9C9FFE_0593_441C_AAA2_54860C1497B2_.wvu.FilterData" localSheetId="5" hidden="1">'dod 6.'!$A$8:$P$73</definedName>
    <definedName name="Z_EBD4F76E_B62E_4938_95BF_9D94C0C7E94B_.wvu.FilterData" localSheetId="5" hidden="1">'dod 6.'!$A$8:$P$73</definedName>
    <definedName name="Z_F7C85F27_C133_4579_923F_B2800FCB2B15_.wvu.FilterData" localSheetId="5" hidden="1">'dod 6.'!$A$8:$P$58</definedName>
    <definedName name="_xlnm.Print_Titles" localSheetId="0">'dod 1 '!$8:$9</definedName>
    <definedName name="_xlnm.Print_Titles" localSheetId="2">'dod 3'!$7:$11</definedName>
    <definedName name="_xlnm.Print_Titles" localSheetId="4">'dod 5'!$13:$14</definedName>
    <definedName name="_xlnm.Print_Titles" localSheetId="5">'dod 6.'!$7:$9</definedName>
    <definedName name="_xlnm.Print_Area" localSheetId="0">'dod 1 '!$A$1:$F$115</definedName>
    <definedName name="_xlnm.Print_Area" localSheetId="2">'dod 3'!$A$1:$P$108</definedName>
    <definedName name="_xlnm.Print_Area" localSheetId="3">'dod 4'!$A$1:$G$39</definedName>
    <definedName name="_xlnm.Print_Area" localSheetId="4">'dod 5'!$A$1:$L$88</definedName>
    <definedName name="_xlnm.Print_Area" localSheetId="5">'dod 6.'!$A$1:$J$78</definedName>
    <definedName name="_xlnm.Print_Area" localSheetId="6">'dod 7'!$A$1:$G$25</definedName>
  </definedNames>
  <calcPr fullCalcOnLoad="1"/>
</workbook>
</file>

<file path=xl/sharedStrings.xml><?xml version="1.0" encoding="utf-8"?>
<sst xmlns="http://schemas.openxmlformats.org/spreadsheetml/2006/main" count="1207" uniqueCount="573">
  <si>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</si>
  <si>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</si>
  <si>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</si>
  <si>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</si>
  <si>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</si>
  <si>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</si>
  <si>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</si>
  <si>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</si>
  <si>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</si>
  <si>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</si>
  <si>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</si>
  <si>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</si>
  <si>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</si>
  <si>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</si>
  <si>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</si>
  <si>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</si>
  <si>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</si>
  <si>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</si>
  <si>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</si>
  <si>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</si>
  <si>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</si>
  <si>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</si>
  <si>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</si>
  <si>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</si>
  <si>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</si>
  <si>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</si>
  <si>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</si>
  <si>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</si>
  <si>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</si>
  <si>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</si>
  <si>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</si>
  <si>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</si>
  <si>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</si>
  <si>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</si>
  <si>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</si>
  <si>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</si>
  <si>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</si>
  <si>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</si>
  <si>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</si>
  <si>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</si>
  <si>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</si>
  <si>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</si>
  <si>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</si>
  <si>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</si>
  <si>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</si>
  <si>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</si>
  <si>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</si>
  <si>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</si>
  <si>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</si>
  <si>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</si>
  <si>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</si>
  <si>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</si>
  <si>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</si>
  <si>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</si>
  <si>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</si>
  <si>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</si>
  <si>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</si>
  <si>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</si>
  <si>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</si>
  <si>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</si>
  <si>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</si>
  <si>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</si>
  <si>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</si>
  <si>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</si>
  <si>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</si>
  <si>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</si>
  <si>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</si>
  <si>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</si>
  <si>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</si>
  <si>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</si>
  <si>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</si>
  <si>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</si>
  <si>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</si>
  <si>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</si>
  <si>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</si>
  <si>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</si>
  <si>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</si>
  <si>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</si>
  <si>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</si>
  <si>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</si>
  <si>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</si>
  <si>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</si>
  <si>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</si>
  <si>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</si>
  <si>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</si>
  <si>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</si>
  <si>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</si>
  <si>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</si>
  <si>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</si>
  <si>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</si>
  <si>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</si>
  <si>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</si>
  <si>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</si>
  <si>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</si>
  <si>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</si>
  <si>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</si>
  <si>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</si>
  <si>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</si>
  <si>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</si>
  <si>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</si>
  <si>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</si>
  <si>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</si>
  <si>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</si>
  <si>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</si>
  <si>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</si>
  <si>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</si>
  <si>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</si>
  <si>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</si>
  <si>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</si>
  <si>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</si>
  <si>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</si>
  <si>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</si>
  <si>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</si>
  <si>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</si>
  <si>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</si>
  <si>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</si>
  <si>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</si>
  <si>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</si>
  <si>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</si>
  <si>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</si>
  <si>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</si>
  <si>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</si>
  <si>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</si>
  <si>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</si>
  <si>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</si>
  <si>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</si>
  <si>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</si>
  <si>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</si>
  <si>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</si>
  <si>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</si>
  <si>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</si>
  <si>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</si>
  <si>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</si>
  <si>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</si>
  <si>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</si>
  <si>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</si>
  <si>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</si>
  <si>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</si>
  <si>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</si>
  <si>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</si>
  <si>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</si>
  <si>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</si>
  <si>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</si>
  <si>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</si>
  <si>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</si>
  <si>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</si>
  <si>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</si>
  <si>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</si>
  <si>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</si>
  <si>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</si>
  <si>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</si>
  <si>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</si>
  <si>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</si>
  <si>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</si>
  <si>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</si>
  <si>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</si>
  <si>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</si>
  <si>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</si>
  <si>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</si>
  <si>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</si>
  <si>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</si>
  <si>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</si>
  <si>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</si>
  <si>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</si>
  <si>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</si>
  <si>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</si>
  <si>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</si>
  <si>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</si>
  <si>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</si>
  <si>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</si>
  <si>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</si>
  <si>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</si>
  <si>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</si>
  <si>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</si>
  <si>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</si>
  <si>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</si>
  <si>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</si>
  <si>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</si>
  <si>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</si>
  <si>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</si>
  <si>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</si>
  <si>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</si>
  <si>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</si>
  <si>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</si>
  <si>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</si>
  <si>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</si>
  <si>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</si>
  <si>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</si>
  <si>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</si>
  <si>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</si>
  <si>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</si>
  <si>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</si>
  <si>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</si>
  <si>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</si>
  <si>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</si>
  <si>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</si>
  <si>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</si>
  <si>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</si>
  <si>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</si>
  <si>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</si>
  <si>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</si>
  <si>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</si>
  <si>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</si>
  <si>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</si>
  <si>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</si>
  <si>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</si>
  <si>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</si>
  <si>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</si>
  <si>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</si>
  <si>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</si>
  <si>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</si>
  <si>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</si>
  <si>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</si>
  <si>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</si>
  <si>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</si>
  <si>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</si>
  <si>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</si>
  <si>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</si>
  <si>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</si>
  <si>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</si>
  <si>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</si>
  <si>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</si>
  <si>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</si>
  <si>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</si>
  <si>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</si>
  <si>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</si>
  <si>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</si>
  <si>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</si>
  <si>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</si>
  <si>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</si>
  <si>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</si>
  <si>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</si>
  <si>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</si>
  <si>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</si>
  <si>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</si>
  <si>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</si>
  <si>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</si>
  <si>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</si>
  <si>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</si>
  <si>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</si>
  <si>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</si>
  <si>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</si>
  <si>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</si>
  <si>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</si>
  <si>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</si>
  <si>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</si>
  <si>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</si>
  <si>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</si>
  <si>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</si>
  <si>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</si>
  <si>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</si>
  <si>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</si>
  <si>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</si>
  <si>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</si>
  <si>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</si>
  <si>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</si>
  <si>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</si>
  <si>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</si>
  <si>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</si>
  <si>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</si>
  <si>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</si>
  <si>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</si>
  <si>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</si>
  <si>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</si>
  <si>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</si>
  <si>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</si>
  <si>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</si>
  <si>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</si>
  <si>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</si>
  <si>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</si>
  <si>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</si>
  <si>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</si>
  <si>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</si>
  <si>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</si>
  <si>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</si>
  <si>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</si>
  <si>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</si>
  <si>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</si>
  <si>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</si>
  <si>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</si>
  <si>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</si>
  <si>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</si>
  <si>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</si>
  <si>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</si>
  <si>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</si>
  <si>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</si>
  <si>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</si>
  <si>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 xml:space="preserve">ДОХОДИ </t>
  </si>
  <si>
    <t>07507000000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</si>
  <si>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</si>
  <si>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</si>
  <si>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</si>
  <si>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</si>
  <si>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</si>
  <si>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</si>
  <si>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</si>
  <si>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</si>
  <si>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</si>
  <si>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</si>
  <si>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</si>
  <si>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</si>
  <si>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</si>
  <si>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</si>
  <si>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</si>
  <si>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</si>
  <si>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</si>
  <si>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</si>
  <si>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</si>
  <si>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</si>
  <si>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</si>
  <si>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</si>
  <si>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</si>
  <si>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</si>
  <si>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</si>
  <si>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</si>
  <si>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</si>
  <si>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</si>
  <si>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</si>
  <si>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Зміцнення та оновлення матеріально-технічної бази підприємств, установ і організацій, що фінансуються з міського бюджету: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</si>
  <si>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</si>
  <si>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</si>
  <si>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</si>
  <si>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</si>
  <si>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</si>
  <si>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</si>
  <si>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</si>
  <si>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</si>
  <si>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</si>
  <si>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</si>
  <si>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</si>
  <si>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</si>
  <si>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</si>
  <si>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</si>
  <si>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</si>
  <si>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</si>
  <si>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</si>
  <si>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</si>
  <si>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</si>
  <si>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</si>
  <si>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</si>
  <si>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</si>
  <si>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</si>
  <si>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(грн.)</t>
  </si>
  <si>
    <t>загальний фонд</t>
  </si>
  <si>
    <t>спеціальний фонд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</si>
  <si>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</si>
  <si>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</si>
  <si>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</si>
  <si>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</si>
  <si>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</si>
  <si>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</si>
  <si>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</si>
  <si>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</si>
  <si>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</si>
  <si>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</si>
  <si>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</si>
  <si>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</si>
  <si>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Будівництво об'єктів  житлово-комунального господарства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</si>
  <si>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</si>
  <si>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</si>
  <si>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</si>
  <si>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</si>
  <si>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</si>
  <si>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</si>
  <si>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</si>
  <si>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</si>
  <si>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</si>
  <si>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</si>
  <si>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</si>
  <si>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</si>
  <si>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</si>
  <si>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</si>
  <si>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</si>
  <si>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</si>
  <si>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</si>
  <si>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</si>
  <si>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</si>
  <si>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</si>
  <si>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</si>
  <si>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</si>
  <si>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</si>
  <si>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</si>
  <si>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</si>
  <si>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</si>
  <si>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</si>
  <si>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</si>
  <si>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</si>
  <si>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</si>
  <si>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</si>
  <si>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</si>
  <si>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</si>
  <si>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</si>
  <si>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</si>
  <si>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</si>
  <si>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0614040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</si>
  <si>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</si>
  <si>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</si>
  <si>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</si>
  <si>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Фінансування бюджету Мукачівської міської територіальної громади на 2022 рік</t>
  </si>
  <si>
    <t xml:space="preserve"> видатків  бюджету Мукачівської міської територіальної громади  на 2022 рік</t>
  </si>
  <si>
    <t>Міжбюджетні трансферти на 2022 рік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</si>
  <si>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</si>
  <si>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</si>
  <si>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Програма "Захисту прав дітей" на 2022-2024 роки</t>
  </si>
  <si>
    <t xml:space="preserve">Програма організації громадських оплачувальних робіт для молоді у вільний від навчання час на 2022-2024 роки </t>
  </si>
  <si>
    <t>Програма виплати винагороди Почесним громадянам міста Мукачева на 2022-2024 роки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</si>
  <si>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</si>
  <si>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</si>
  <si>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</si>
  <si>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</si>
  <si>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</si>
  <si>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</si>
  <si>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</si>
  <si>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</si>
  <si>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</si>
  <si>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</si>
  <si>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Програма удосконалення цивільного захисту та оборонної роботи  Мукачівської міської територіальної громади на 2022-2024 роки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</si>
  <si>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</si>
  <si>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подарунки для дітей закладів освіти Мукачівської міської територіальної громади на 2022-2024 роки</t>
  </si>
  <si>
    <t>Програма впровадження молодіжної політики Мукачівської міської територіальної громади на 2022-2024 роки</t>
  </si>
  <si>
    <t>Програма розвитку фізичної культури і спорту Мукачівської міської територіальної громади на 2022-2024 роки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</si>
  <si>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</si>
  <si>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 -придбання комп'ютерної та оргтехніки, фотообладнання та комплектуючих до них </t>
  </si>
  <si>
    <t>0611160</t>
  </si>
  <si>
    <t>1160</t>
  </si>
  <si>
    <t>Забезпечення діяльності центрів професійного розвитку педагогічних працівників</t>
  </si>
  <si>
    <t>Керівництво і управління у відповідній сфері у містах (місті Києві), селищах, селах,територіальних громадах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</si>
  <si>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</si>
  <si>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</si>
  <si>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</si>
  <si>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</si>
  <si>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</si>
  <si>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</si>
  <si>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</si>
  <si>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</si>
  <si>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</si>
  <si>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</si>
  <si>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</si>
  <si>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</si>
  <si>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</si>
  <si>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</si>
  <si>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</si>
  <si>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</si>
  <si>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</si>
  <si>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</si>
  <si>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</si>
  <si>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</si>
  <si>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</si>
  <si>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</si>
  <si>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</si>
  <si>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 xml:space="preserve"> 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</si>
  <si>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</si>
  <si>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</si>
  <si>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</si>
  <si>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</si>
  <si>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</si>
  <si>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</si>
  <si>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</si>
  <si>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</si>
  <si>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</si>
  <si>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</si>
  <si>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</si>
  <si>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</si>
  <si>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 xml:space="preserve"> бюджету Мукачівської міської територіальної громади на  2022 рік 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</si>
  <si>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</si>
  <si>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</si>
  <si>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</si>
  <si>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</si>
  <si>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</si>
  <si>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</si>
  <si>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виконання інвестиційних проектів</t>
  </si>
  <si>
    <t>1517441</t>
  </si>
  <si>
    <t>7441</t>
  </si>
  <si>
    <t>1517461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</si>
  <si>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</si>
  <si>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</si>
  <si>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</si>
  <si>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2021-2022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</si>
  <si>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</si>
  <si>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</si>
  <si>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</si>
  <si>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</si>
  <si>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</si>
  <si>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</si>
  <si>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сільського клубу по вул. Ярослава Мудрого, 66А с. Ключарки Мукачівської ОТГ</t>
  </si>
  <si>
    <t>Реконструкція СШ № 16 по вул. Шевченка, 68 в м. Мукачево. 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</si>
  <si>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</si>
  <si>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</si>
  <si>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</si>
  <si>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</si>
  <si>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Будівництво кругового руху на перехресті вул. Духновича Олександра та Стуса Василя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</si>
  <si>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</si>
  <si>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</si>
  <si>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</si>
  <si>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</si>
  <si>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</si>
  <si>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</si>
  <si>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</si>
  <si>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</si>
  <si>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</si>
  <si>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кругового руху на перехресті вул. Берегівська - вул. 26 Жовтня - вул. Шевченка Тараса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</si>
  <si>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</si>
  <si>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</si>
  <si>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</si>
  <si>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</si>
  <si>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</si>
  <si>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</si>
  <si>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</si>
  <si>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вул.Солов’їна у м.Мукачево</t>
  </si>
  <si>
    <t>Реконструкція вул.Робоча у м.Мукачево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</si>
  <si>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</si>
  <si>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перехрестя вул. Миру та вул. Нижнянська у с.Лавки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</si>
  <si>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</si>
  <si>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</si>
  <si>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у 2022 році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</si>
  <si>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</si>
  <si>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</si>
  <si>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1511010</t>
  </si>
  <si>
    <t>1511021</t>
  </si>
  <si>
    <t>1514060</t>
  </si>
  <si>
    <t>1517340</t>
  </si>
  <si>
    <t>7340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</si>
  <si>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2022 році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</si>
  <si>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</si>
  <si>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</si>
  <si>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</si>
  <si>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</si>
  <si>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</si>
  <si>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</si>
  <si>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</si>
  <si>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</si>
  <si>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</si>
  <si>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</si>
  <si>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07100000000</t>
  </si>
  <si>
    <t>Обласний бюджет Закарпатської області</t>
  </si>
  <si>
    <t>41051200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</si>
  <si>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</si>
  <si>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</si>
  <si>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</si>
  <si>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</si>
  <si>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</si>
  <si>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</si>
  <si>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</si>
  <si>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</si>
  <si>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</si>
  <si>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1511080</t>
  </si>
  <si>
    <t>Програма реформування та підтримки водопровідного та каналізаційного господарства на території Мукачівської міської територіальної громади  на 2022 - 2024 роки</t>
  </si>
  <si>
    <t>в т.ч. за рахунок коштів місцевого запозичення</t>
  </si>
  <si>
    <t>1517324</t>
  </si>
  <si>
    <t>7324</t>
  </si>
  <si>
    <t>Будівництво установ та закладів культури</t>
  </si>
  <si>
    <t>Будівництво центру безпеки громадян по вул. Лавківська, б/н в м. Мукачево</t>
  </si>
  <si>
    <t>Розподіл витрат бюджету Мукачівської міської територіальної громади на реалізацію місцевих /регіональних  програм  у 2022 році</t>
  </si>
  <si>
    <t>Програма капітального ремонту об’єктів Мукчівської міської територіальної громади на 2022-20224 роки</t>
  </si>
  <si>
    <t>2020-2022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</si>
  <si>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</si>
  <si>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0611010</t>
  </si>
  <si>
    <t>Багатопрофільна  стаціонарна  медична допомога населенню.</t>
  </si>
  <si>
    <t>2019-2022</t>
  </si>
  <si>
    <t>2018-2022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</si>
  <si>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</si>
  <si>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</si>
  <si>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</si>
  <si>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r>
      <t xml:space="preserve">Додаток 1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 __ грудня 2021 року № </t>
    </r>
  </si>
  <si>
    <r>
      <t xml:space="preserve">Додаток 2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 ___ грудня 2021 року №______ </t>
    </r>
  </si>
  <si>
    <r>
      <t xml:space="preserve">Додаток 3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
</t>
    </r>
    <r>
      <rPr>
        <u val="single"/>
        <sz val="12"/>
        <rFont val="Times New Roman"/>
        <family val="1"/>
      </rPr>
      <t xml:space="preserve">від  ____ грудня  2021  року №  </t>
    </r>
  </si>
  <si>
    <t xml:space="preserve">Додаток 4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
від  ___ грудня 2021 року № ___ </t>
  </si>
  <si>
    <t xml:space="preserve">Додаток 5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від ___ грудня  2021 року № </t>
  </si>
  <si>
    <t>Додаток 7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  від ___ грудня  2021  року № ____</t>
  </si>
  <si>
    <t>Керуючий справами виконавчого комітету Мукачівської місько ради</t>
  </si>
  <si>
    <t>Олександр ЛЕНДЄЛ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</si>
  <si>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</si>
  <si>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 xml:space="preserve">Додаток 6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16.12.2021 № 523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</si>
</sst>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95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5" borderId="0" applyNumberFormat="0" applyBorder="0" applyAlignment="0" applyProtection="0"/>
    <xf numFmtId="0" fontId="62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20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38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1" applyNumberFormat="0" applyAlignment="0" applyProtection="0"/>
    <xf numFmtId="0" fontId="1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7" borderId="3" applyNumberFormat="0" applyAlignment="0" applyProtection="0"/>
    <xf numFmtId="0" fontId="20" fillId="27" borderId="2" applyNumberFormat="0" applyAlignment="0" applyProtection="0"/>
    <xf numFmtId="0" fontId="65" fillId="28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66" fillId="0" borderId="8" applyNumberFormat="0" applyFill="0" applyAlignment="0" applyProtection="0"/>
    <xf numFmtId="0" fontId="22" fillId="0" borderId="9" applyNumberFormat="0" applyFill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17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7" fillId="33" borderId="10" applyNumberFormat="0" applyAlignment="0" applyProtection="0"/>
    <xf numFmtId="0" fontId="23" fillId="34" borderId="11" applyNumberFormat="0" applyAlignment="0" applyProtection="0"/>
    <xf numFmtId="0" fontId="12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25" fillId="3" borderId="0" applyNumberFormat="0" applyBorder="0" applyAlignment="0" applyProtection="0"/>
    <xf numFmtId="0" fontId="7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73" fillId="27" borderId="14" applyNumberFormat="0" applyAlignment="0" applyProtection="0"/>
    <xf numFmtId="0" fontId="27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4" fontId="4" fillId="4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4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3" fontId="76" fillId="0" borderId="16" xfId="0" applyNumberFormat="1" applyFont="1" applyFill="1" applyBorder="1" applyAlignment="1">
      <alignment horizontal="center" vertical="distributed"/>
    </xf>
    <xf numFmtId="49" fontId="76" fillId="0" borderId="0" xfId="0" applyNumberFormat="1" applyFont="1" applyFill="1" applyAlignment="1">
      <alignment horizontal="center" vertical="center"/>
    </xf>
    <xf numFmtId="3" fontId="6" fillId="40" borderId="0" xfId="0" applyNumberFormat="1" applyFont="1" applyFill="1" applyAlignment="1">
      <alignment horizontal="center" vertical="center"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6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4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76" fillId="0" borderId="0" xfId="0" applyFont="1" applyFill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0" fontId="8" fillId="40" borderId="0" xfId="0" applyFont="1" applyFill="1" applyAlignment="1">
      <alignment horizontal="center" vertical="center"/>
    </xf>
    <xf numFmtId="3" fontId="6" fillId="41" borderId="16" xfId="98" applyNumberFormat="1" applyFont="1" applyFill="1" applyBorder="1" applyAlignment="1">
      <alignment horizontal="right" vertical="center"/>
      <protection/>
    </xf>
    <xf numFmtId="3" fontId="8" fillId="41" borderId="16" xfId="98" applyNumberFormat="1" applyFont="1" applyFill="1" applyBorder="1" applyAlignment="1">
      <alignment horizontal="right" vertical="center"/>
      <protection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vertical="center" wrapText="1"/>
    </xf>
    <xf numFmtId="3" fontId="4" fillId="41" borderId="16" xfId="98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Font="1" applyFill="1" applyBorder="1" applyAlignment="1">
      <alignment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3" fontId="6" fillId="41" borderId="16" xfId="0" applyNumberFormat="1" applyFont="1" applyFill="1" applyBorder="1" applyAlignment="1">
      <alignment horizontal="right" vertical="center"/>
    </xf>
    <xf numFmtId="0" fontId="4" fillId="41" borderId="16" xfId="100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101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6" fillId="40" borderId="0" xfId="0" applyFont="1" applyFill="1" applyAlignment="1">
      <alignment horizontal="right"/>
    </xf>
    <xf numFmtId="3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4" fontId="81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4" fontId="82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Border="1" applyAlignment="1">
      <alignment/>
    </xf>
    <xf numFmtId="0" fontId="6" fillId="41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76" applyNumberFormat="1" applyFont="1" applyFill="1" applyBorder="1" applyAlignment="1">
      <alignment horizontal="left" vertical="center"/>
      <protection/>
    </xf>
    <xf numFmtId="194" fontId="7" fillId="41" borderId="16" xfId="76" applyNumberFormat="1" applyFont="1" applyFill="1" applyBorder="1" applyAlignment="1">
      <alignment horizontal="left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0" fontId="6" fillId="41" borderId="0" xfId="0" applyFont="1" applyFill="1" applyAlignment="1">
      <alignment vertical="center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/>
      <protection/>
    </xf>
    <xf numFmtId="3" fontId="6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/>
    </xf>
    <xf numFmtId="3" fontId="4" fillId="41" borderId="0" xfId="0" applyNumberFormat="1" applyFont="1" applyFill="1" applyAlignment="1">
      <alignment/>
    </xf>
    <xf numFmtId="0" fontId="4" fillId="41" borderId="16" xfId="100" applyFont="1" applyFill="1" applyBorder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0" xfId="0" applyNumberFormat="1" applyFont="1" applyFill="1" applyAlignment="1">
      <alignment vertical="distributed"/>
    </xf>
    <xf numFmtId="0" fontId="8" fillId="41" borderId="0" xfId="0" applyNumberFormat="1" applyFont="1" applyFill="1" applyAlignment="1" applyProtection="1">
      <alignment/>
      <protection/>
    </xf>
    <xf numFmtId="3" fontId="80" fillId="41" borderId="16" xfId="0" applyNumberFormat="1" applyFont="1" applyFill="1" applyBorder="1" applyAlignment="1">
      <alignment horizontal="right" vertical="center" wrapText="1"/>
    </xf>
    <xf numFmtId="49" fontId="83" fillId="41" borderId="16" xfId="0" applyNumberFormat="1" applyFont="1" applyFill="1" applyBorder="1" applyAlignment="1">
      <alignment horizontal="center" vertical="center"/>
    </xf>
    <xf numFmtId="49" fontId="83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0" fontId="6" fillId="41" borderId="16" xfId="98" applyFont="1" applyFill="1" applyBorder="1" applyAlignment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" fontId="6" fillId="41" borderId="16" xfId="76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 applyProtection="1">
      <alignment horizontal="center" vertical="center" wrapText="1"/>
      <protection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3" fontId="80" fillId="41" borderId="16" xfId="98" applyNumberFormat="1" applyFont="1" applyFill="1" applyBorder="1" applyAlignment="1">
      <alignment horizontal="right" vertical="center"/>
      <protection/>
    </xf>
    <xf numFmtId="0" fontId="44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3" fontId="8" fillId="41" borderId="16" xfId="0" applyNumberFormat="1" applyFont="1" applyFill="1" applyBorder="1" applyAlignment="1">
      <alignment horizontal="right" vertical="center" wrapText="1"/>
    </xf>
    <xf numFmtId="49" fontId="6" fillId="41" borderId="16" xfId="98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horizontal="left" vertical="center"/>
    </xf>
    <xf numFmtId="194" fontId="6" fillId="41" borderId="16" xfId="76" applyNumberFormat="1" applyFont="1" applyFill="1" applyBorder="1" applyAlignment="1" applyProtection="1">
      <alignment horizontal="left" vertical="center" wrapText="1"/>
      <protection locked="0"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justify" vertical="center" wrapText="1"/>
    </xf>
    <xf numFmtId="3" fontId="79" fillId="0" borderId="0" xfId="0" applyNumberFormat="1" applyFont="1" applyFill="1" applyAlignment="1">
      <alignment horizontal="center" vertical="center" wrapText="1"/>
    </xf>
    <xf numFmtId="0" fontId="6" fillId="41" borderId="16" xfId="0" applyFont="1" applyFill="1" applyBorder="1" applyAlignment="1">
      <alignment vertical="center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76" fillId="41" borderId="16" xfId="98" applyNumberFormat="1" applyFont="1" applyFill="1" applyBorder="1" applyAlignment="1">
      <alignment horizontal="right" vertical="center"/>
      <protection/>
    </xf>
    <xf numFmtId="3" fontId="76" fillId="41" borderId="16" xfId="0" applyNumberFormat="1" applyFont="1" applyFill="1" applyBorder="1" applyAlignment="1">
      <alignment horizontal="right" vertical="center" wrapText="1"/>
    </xf>
    <xf numFmtId="3" fontId="76" fillId="0" borderId="16" xfId="0" applyNumberFormat="1" applyFont="1" applyFill="1" applyBorder="1" applyAlignment="1">
      <alignment horizontal="right" vertical="center" wrapText="1"/>
    </xf>
    <xf numFmtId="3" fontId="76" fillId="0" borderId="16" xfId="98" applyNumberFormat="1" applyFont="1" applyFill="1" applyBorder="1" applyAlignment="1">
      <alignment horizontal="righ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distributed" wrapText="1"/>
    </xf>
    <xf numFmtId="3" fontId="5" fillId="41" borderId="16" xfId="0" applyNumberFormat="1" applyFont="1" applyFill="1" applyBorder="1" applyAlignment="1">
      <alignment horizontal="right" vertical="center" wrapText="1"/>
    </xf>
    <xf numFmtId="0" fontId="5" fillId="41" borderId="0" xfId="0" applyFont="1" applyFill="1" applyBorder="1" applyAlignment="1">
      <alignment vertical="distributed"/>
    </xf>
    <xf numFmtId="3" fontId="5" fillId="0" borderId="0" xfId="0" applyNumberFormat="1" applyFont="1" applyFill="1" applyAlignment="1">
      <alignment/>
    </xf>
    <xf numFmtId="49" fontId="5" fillId="41" borderId="16" xfId="0" applyNumberFormat="1" applyFont="1" applyFill="1" applyBorder="1" applyAlignment="1">
      <alignment horizontal="center" vertical="center" wrapText="1"/>
    </xf>
    <xf numFmtId="3" fontId="5" fillId="41" borderId="16" xfId="0" applyNumberFormat="1" applyFont="1" applyFill="1" applyBorder="1" applyAlignment="1">
      <alignment vertical="center" wrapText="1"/>
    </xf>
    <xf numFmtId="49" fontId="76" fillId="41" borderId="16" xfId="0" applyNumberFormat="1" applyFont="1" applyFill="1" applyBorder="1" applyAlignment="1">
      <alignment horizontal="center" vertical="center"/>
    </xf>
    <xf numFmtId="49" fontId="76" fillId="41" borderId="16" xfId="0" applyNumberFormat="1" applyFont="1" applyFill="1" applyBorder="1" applyAlignment="1">
      <alignment horizontal="center" vertical="distributed" wrapText="1"/>
    </xf>
    <xf numFmtId="194" fontId="76" fillId="41" borderId="16" xfId="0" applyNumberFormat="1" applyFont="1" applyFill="1" applyBorder="1" applyAlignment="1">
      <alignment horizontal="left" vertical="center" wrapText="1"/>
    </xf>
    <xf numFmtId="194" fontId="76" fillId="41" borderId="16" xfId="0" applyNumberFormat="1" applyFont="1" applyFill="1" applyBorder="1" applyAlignment="1">
      <alignment vertical="center" wrapText="1"/>
    </xf>
    <xf numFmtId="0" fontId="76" fillId="41" borderId="16" xfId="0" applyFont="1" applyFill="1" applyBorder="1" applyAlignment="1">
      <alignment wrapText="1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91" applyFont="1" applyFill="1" applyBorder="1" applyAlignment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2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49" fontId="6" fillId="41" borderId="17" xfId="0" applyNumberFormat="1" applyFont="1" applyFill="1" applyBorder="1" applyAlignment="1">
      <alignment horizontal="center" vertical="distributed" wrapText="1"/>
    </xf>
    <xf numFmtId="0" fontId="6" fillId="41" borderId="16" xfId="0" applyNumberFormat="1" applyFont="1" applyFill="1" applyBorder="1" applyAlignment="1">
      <alignment horizontal="justify" vertical="center" wrapText="1"/>
    </xf>
    <xf numFmtId="49" fontId="80" fillId="40" borderId="0" xfId="0" applyNumberFormat="1" applyFont="1" applyFill="1" applyBorder="1" applyAlignment="1">
      <alignment horizontal="center" vertical="distributed" wrapText="1"/>
    </xf>
    <xf numFmtId="0" fontId="80" fillId="40" borderId="0" xfId="0" applyFont="1" applyFill="1" applyAlignment="1">
      <alignment/>
    </xf>
    <xf numFmtId="0" fontId="30" fillId="40" borderId="0" xfId="0" applyFont="1" applyFill="1" applyAlignment="1">
      <alignment wrapText="1"/>
    </xf>
    <xf numFmtId="3" fontId="1" fillId="40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1" fillId="41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wrapText="1"/>
    </xf>
    <xf numFmtId="3" fontId="4" fillId="40" borderId="0" xfId="0" applyNumberFormat="1" applyFont="1" applyFill="1" applyAlignment="1">
      <alignment horizontal="center" vertical="center"/>
    </xf>
    <xf numFmtId="4" fontId="6" fillId="40" borderId="0" xfId="0" applyNumberFormat="1" applyFont="1" applyFill="1" applyAlignment="1">
      <alignment/>
    </xf>
    <xf numFmtId="4" fontId="4" fillId="41" borderId="0" xfId="0" applyNumberFormat="1" applyFont="1" applyFill="1" applyAlignment="1">
      <alignment/>
    </xf>
    <xf numFmtId="3" fontId="81" fillId="40" borderId="0" xfId="0" applyNumberFormat="1" applyFont="1" applyFill="1" applyAlignment="1">
      <alignment/>
    </xf>
    <xf numFmtId="0" fontId="4" fillId="41" borderId="0" xfId="0" applyFont="1" applyFill="1" applyAlignment="1">
      <alignment wrapText="1"/>
    </xf>
    <xf numFmtId="0" fontId="4" fillId="40" borderId="16" xfId="0" applyFont="1" applyFill="1" applyBorder="1" applyAlignment="1">
      <alignment vertical="center" wrapText="1"/>
    </xf>
    <xf numFmtId="0" fontId="4" fillId="41" borderId="0" xfId="0" applyFont="1" applyFill="1" applyAlignment="1">
      <alignment vertical="center" wrapText="1"/>
    </xf>
    <xf numFmtId="49" fontId="6" fillId="40" borderId="1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right" vertical="center"/>
      <protection/>
    </xf>
    <xf numFmtId="49" fontId="8" fillId="41" borderId="16" xfId="0" applyNumberFormat="1" applyFont="1" applyFill="1" applyBorder="1" applyAlignment="1">
      <alignment horizontal="center" vertical="center"/>
    </xf>
    <xf numFmtId="49" fontId="8" fillId="41" borderId="16" xfId="0" applyNumberFormat="1" applyFont="1" applyFill="1" applyBorder="1" applyAlignment="1">
      <alignment horizontal="center" vertical="center" wrapText="1"/>
    </xf>
    <xf numFmtId="0" fontId="48" fillId="41" borderId="16" xfId="0" applyNumberFormat="1" applyFont="1" applyFill="1" applyBorder="1" applyAlignment="1" applyProtection="1">
      <alignment horizontal="left" vertical="center" wrapText="1"/>
      <protection/>
    </xf>
    <xf numFmtId="0" fontId="84" fillId="0" borderId="0" xfId="96" applyFont="1" applyFill="1" applyAlignment="1">
      <alignment/>
      <protection/>
    </xf>
    <xf numFmtId="0" fontId="84" fillId="0" borderId="0" xfId="96" applyFont="1" applyFill="1">
      <alignment/>
      <protection/>
    </xf>
    <xf numFmtId="0" fontId="84" fillId="0" borderId="0" xfId="96" applyFont="1" applyFill="1" applyAlignment="1">
      <alignment horizontal="right"/>
      <protection/>
    </xf>
    <xf numFmtId="0" fontId="85" fillId="0" borderId="0" xfId="96" applyFont="1" applyFill="1">
      <alignment/>
      <protection/>
    </xf>
    <xf numFmtId="0" fontId="78" fillId="0" borderId="0" xfId="96" applyFont="1" applyFill="1" applyAlignment="1">
      <alignment horizontal="left"/>
      <protection/>
    </xf>
    <xf numFmtId="0" fontId="78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6" fillId="0" borderId="0" xfId="96" applyFont="1" applyFill="1">
      <alignment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6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center"/>
      <protection/>
    </xf>
    <xf numFmtId="0" fontId="86" fillId="0" borderId="21" xfId="96" applyFont="1" applyFill="1" applyBorder="1" applyAlignment="1">
      <alignment horizontal="centerContinuous" vertical="center" wrapText="1"/>
      <protection/>
    </xf>
    <xf numFmtId="0" fontId="86" fillId="0" borderId="22" xfId="96" applyFont="1" applyFill="1" applyBorder="1" applyAlignment="1">
      <alignment horizontal="centerContinuous" vertical="center"/>
      <protection/>
    </xf>
    <xf numFmtId="209" fontId="86" fillId="0" borderId="22" xfId="96" applyNumberFormat="1" applyFont="1" applyFill="1" applyBorder="1" applyAlignment="1">
      <alignment horizontal="right" vertical="center"/>
      <protection/>
    </xf>
    <xf numFmtId="0" fontId="84" fillId="0" borderId="21" xfId="96" applyFont="1" applyFill="1" applyBorder="1" applyAlignment="1">
      <alignment horizontal="center" vertical="center"/>
      <protection/>
    </xf>
    <xf numFmtId="0" fontId="84" fillId="0" borderId="21" xfId="96" applyFont="1" applyFill="1" applyBorder="1" applyAlignment="1">
      <alignment horizontal="centerContinuous" vertical="center" wrapText="1"/>
      <protection/>
    </xf>
    <xf numFmtId="0" fontId="84" fillId="0" borderId="22" xfId="96" applyFont="1" applyFill="1" applyBorder="1" applyAlignment="1">
      <alignment horizontal="centerContinuous" vertical="center"/>
      <protection/>
    </xf>
    <xf numFmtId="209" fontId="84" fillId="0" borderId="22" xfId="96" applyNumberFormat="1" applyFont="1" applyFill="1" applyBorder="1" applyAlignment="1">
      <alignment horizontal="right" vertical="center"/>
      <protection/>
    </xf>
    <xf numFmtId="0" fontId="78" fillId="0" borderId="21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left" vertical="center"/>
      <protection/>
    </xf>
    <xf numFmtId="0" fontId="78" fillId="0" borderId="22" xfId="96" applyFont="1" applyFill="1" applyBorder="1" applyAlignment="1">
      <alignment horizontal="centerContinuous" vertical="center"/>
      <protection/>
    </xf>
    <xf numFmtId="3" fontId="78" fillId="0" borderId="22" xfId="96" applyNumberFormat="1" applyFont="1" applyFill="1" applyBorder="1" applyAlignment="1">
      <alignment horizontal="right"/>
      <protection/>
    </xf>
    <xf numFmtId="0" fontId="78" fillId="0" borderId="0" xfId="96" applyFont="1" applyFill="1" applyAlignment="1">
      <alignment horizontal="right"/>
      <protection/>
    </xf>
    <xf numFmtId="0" fontId="84" fillId="0" borderId="16" xfId="96" applyFont="1" applyFill="1" applyBorder="1" applyAlignment="1">
      <alignment horizontal="center" vertical="top" wrapText="1"/>
      <protection/>
    </xf>
    <xf numFmtId="0" fontId="84" fillId="0" borderId="17" xfId="96" applyFont="1" applyFill="1" applyBorder="1" applyAlignment="1">
      <alignment horizontal="center" vertical="top" wrapText="1"/>
      <protection/>
    </xf>
    <xf numFmtId="0" fontId="86" fillId="0" borderId="16" xfId="96" applyFont="1" applyFill="1" applyBorder="1" applyAlignment="1">
      <alignment horizontal="center"/>
      <protection/>
    </xf>
    <xf numFmtId="3" fontId="86" fillId="0" borderId="16" xfId="96" applyNumberFormat="1" applyFont="1" applyFill="1" applyBorder="1" applyAlignment="1">
      <alignment horizontal="right"/>
      <protection/>
    </xf>
    <xf numFmtId="3" fontId="84" fillId="0" borderId="16" xfId="96" applyNumberFormat="1" applyFont="1" applyFill="1" applyBorder="1" applyAlignment="1">
      <alignment horizontal="right"/>
      <protection/>
    </xf>
    <xf numFmtId="0" fontId="84" fillId="0" borderId="21" xfId="96" applyFont="1" applyFill="1" applyBorder="1" applyAlignment="1">
      <alignment horizontal="center"/>
      <protection/>
    </xf>
    <xf numFmtId="0" fontId="84" fillId="0" borderId="25" xfId="96" applyFont="1" applyFill="1" applyBorder="1" applyAlignment="1">
      <alignment horizontal="center"/>
      <protection/>
    </xf>
    <xf numFmtId="0" fontId="84" fillId="0" borderId="22" xfId="96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Continuous" vertical="center"/>
      <protection/>
    </xf>
    <xf numFmtId="0" fontId="78" fillId="0" borderId="16" xfId="96" applyFont="1" applyFill="1" applyBorder="1" applyAlignment="1">
      <alignment horizontal="left" vertical="center"/>
      <protection/>
    </xf>
    <xf numFmtId="221" fontId="78" fillId="0" borderId="16" xfId="96" applyNumberFormat="1" applyFont="1" applyFill="1" applyBorder="1" applyAlignment="1">
      <alignment horizontal="center"/>
      <protection/>
    </xf>
    <xf numFmtId="0" fontId="78" fillId="0" borderId="17" xfId="96" applyFont="1" applyFill="1" applyBorder="1" applyAlignment="1">
      <alignment horizontal="centerContinuous" vertical="center"/>
      <protection/>
    </xf>
    <xf numFmtId="0" fontId="78" fillId="0" borderId="17" xfId="96" applyFont="1" applyFill="1" applyBorder="1" applyAlignment="1">
      <alignment horizontal="left" vertical="center"/>
      <protection/>
    </xf>
    <xf numFmtId="3" fontId="78" fillId="0" borderId="17" xfId="96" applyNumberFormat="1" applyFont="1" applyFill="1" applyBorder="1" applyAlignment="1">
      <alignment horizontal="right"/>
      <protection/>
    </xf>
    <xf numFmtId="221" fontId="78" fillId="0" borderId="16" xfId="96" applyNumberFormat="1" applyFont="1" applyFill="1" applyBorder="1" applyAlignment="1">
      <alignment horizontal="center" vertical="center"/>
      <protection/>
    </xf>
    <xf numFmtId="221" fontId="78" fillId="0" borderId="16" xfId="96" applyNumberFormat="1" applyFont="1" applyFill="1" applyBorder="1" applyAlignment="1">
      <alignment horizontal="left" vertical="center"/>
      <protection/>
    </xf>
    <xf numFmtId="3" fontId="78" fillId="0" borderId="16" xfId="96" applyNumberFormat="1" applyFont="1" applyFill="1" applyBorder="1" applyAlignment="1">
      <alignment horizontal="right"/>
      <protection/>
    </xf>
    <xf numFmtId="221" fontId="84" fillId="0" borderId="16" xfId="96" applyNumberFormat="1" applyFont="1" applyFill="1" applyBorder="1" applyAlignment="1">
      <alignment horizontal="center" vertical="center"/>
      <protection/>
    </xf>
    <xf numFmtId="221" fontId="84" fillId="0" borderId="16" xfId="96" applyNumberFormat="1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"/>
      <protection/>
    </xf>
    <xf numFmtId="0" fontId="6" fillId="41" borderId="16" xfId="97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NumberFormat="1" applyFont="1" applyFill="1" applyBorder="1" applyAlignment="1">
      <alignment horizontal="left" vertical="center" wrapText="1"/>
    </xf>
    <xf numFmtId="4" fontId="4" fillId="41" borderId="16" xfId="76" applyNumberFormat="1" applyFont="1" applyFill="1" applyBorder="1" applyAlignment="1">
      <alignment horizontal="center" vertical="center"/>
      <protection/>
    </xf>
    <xf numFmtId="4" fontId="6" fillId="41" borderId="16" xfId="0" applyNumberFormat="1" applyFont="1" applyFill="1" applyBorder="1" applyAlignment="1">
      <alignment horizontal="center" vertical="center"/>
    </xf>
    <xf numFmtId="4" fontId="6" fillId="41" borderId="16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/>
    </xf>
    <xf numFmtId="4" fontId="6" fillId="41" borderId="16" xfId="98" applyNumberFormat="1" applyFont="1" applyFill="1" applyBorder="1" applyAlignment="1">
      <alignment horizontal="center" vertical="center"/>
      <protection/>
    </xf>
    <xf numFmtId="4" fontId="6" fillId="41" borderId="16" xfId="76" applyNumberFormat="1" applyFont="1" applyFill="1" applyBorder="1" applyAlignment="1">
      <alignment horizontal="center" vertical="center" wrapText="1"/>
      <protection/>
    </xf>
    <xf numFmtId="4" fontId="8" fillId="41" borderId="16" xfId="76" applyNumberFormat="1" applyFont="1" applyFill="1" applyBorder="1" applyAlignment="1">
      <alignment horizontal="center" vertical="center"/>
      <protection/>
    </xf>
    <xf numFmtId="4" fontId="4" fillId="41" borderId="16" xfId="76" applyNumberFormat="1" applyFont="1" applyFill="1" applyBorder="1" applyAlignment="1">
      <alignment horizontal="center" vertical="center" wrapText="1"/>
      <protection/>
    </xf>
    <xf numFmtId="0" fontId="47" fillId="41" borderId="16" xfId="73" applyFont="1" applyFill="1" applyBorder="1" applyAlignment="1">
      <alignment horizontal="left" vertical="center" wrapText="1"/>
      <protection/>
    </xf>
    <xf numFmtId="49" fontId="6" fillId="41" borderId="16" xfId="98" applyNumberFormat="1" applyFont="1" applyFill="1" applyBorder="1" applyAlignment="1">
      <alignment horizontal="center" vertical="center" wrapText="1"/>
      <protection/>
    </xf>
    <xf numFmtId="0" fontId="5" fillId="41" borderId="16" xfId="0" applyFont="1" applyFill="1" applyBorder="1" applyAlignment="1">
      <alignment horizontal="left" vertical="center" wrapText="1"/>
    </xf>
    <xf numFmtId="194" fontId="5" fillId="41" borderId="16" xfId="0" applyNumberFormat="1" applyFont="1" applyFill="1" applyBorder="1" applyAlignment="1" applyProtection="1">
      <alignment vertical="center" wrapText="1"/>
      <protection/>
    </xf>
    <xf numFmtId="0" fontId="5" fillId="41" borderId="16" xfId="0" applyFont="1" applyFill="1" applyBorder="1" applyAlignment="1">
      <alignment horizontal="justify" vertical="center" wrapText="1"/>
    </xf>
    <xf numFmtId="0" fontId="5" fillId="41" borderId="16" xfId="0" applyNumberFormat="1" applyFont="1" applyFill="1" applyBorder="1" applyAlignment="1" applyProtection="1">
      <alignment horizontal="left" vertical="center" wrapText="1"/>
      <protection/>
    </xf>
    <xf numFmtId="0" fontId="5" fillId="41" borderId="16" xfId="0" applyNumberFormat="1" applyFont="1" applyFill="1" applyBorder="1" applyAlignment="1" applyProtection="1">
      <alignment wrapText="1"/>
      <protection/>
    </xf>
    <xf numFmtId="49" fontId="76" fillId="41" borderId="0" xfId="0" applyNumberFormat="1" applyFont="1" applyFill="1" applyAlignment="1">
      <alignment horizontal="center" vertical="center"/>
    </xf>
    <xf numFmtId="0" fontId="76" fillId="41" borderId="0" xfId="0" applyFont="1" applyFill="1" applyAlignment="1">
      <alignment/>
    </xf>
    <xf numFmtId="0" fontId="76" fillId="41" borderId="0" xfId="0" applyFont="1" applyFill="1" applyAlignment="1">
      <alignment vertical="center"/>
    </xf>
    <xf numFmtId="0" fontId="78" fillId="41" borderId="0" xfId="0" applyFont="1" applyFill="1" applyAlignment="1">
      <alignment/>
    </xf>
    <xf numFmtId="0" fontId="76" fillId="41" borderId="0" xfId="0" applyFont="1" applyFill="1" applyBorder="1" applyAlignment="1">
      <alignment/>
    </xf>
    <xf numFmtId="1" fontId="87" fillId="43" borderId="16" xfId="92" applyNumberFormat="1" applyFont="1" applyFill="1" applyBorder="1" applyAlignment="1">
      <alignment horizontal="center" vertical="top" wrapText="1"/>
      <protection/>
    </xf>
    <xf numFmtId="0" fontId="88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center" wrapText="1"/>
      <protection/>
    </xf>
    <xf numFmtId="198" fontId="89" fillId="41" borderId="16" xfId="73" applyNumberFormat="1" applyFont="1" applyFill="1" applyBorder="1" applyAlignment="1">
      <alignment horizontal="center" vertical="center" wrapText="1"/>
      <protection/>
    </xf>
    <xf numFmtId="0" fontId="0" fillId="41" borderId="0" xfId="73" applyFill="1">
      <alignment/>
      <protection/>
    </xf>
    <xf numFmtId="0" fontId="34" fillId="44" borderId="16" xfId="97" applyFont="1" applyFill="1" applyBorder="1" applyAlignment="1">
      <alignment horizontal="left" vertical="center" wrapText="1"/>
      <protection/>
    </xf>
    <xf numFmtId="0" fontId="77" fillId="41" borderId="0" xfId="73" applyFont="1" applyFill="1" applyAlignment="1">
      <alignment horizontal="left" vertical="center" wrapText="1"/>
      <protection/>
    </xf>
    <xf numFmtId="0" fontId="0" fillId="41" borderId="0" xfId="73" applyFill="1" applyAlignment="1">
      <alignment horizontal="left"/>
      <protection/>
    </xf>
    <xf numFmtId="0" fontId="77" fillId="41" borderId="0" xfId="73" applyFont="1" applyFill="1" applyAlignment="1">
      <alignment horizontal="left" vertical="center"/>
      <protection/>
    </xf>
    <xf numFmtId="0" fontId="77" fillId="41" borderId="26" xfId="73" applyFont="1" applyFill="1" applyBorder="1" applyAlignment="1">
      <alignment horizontal="center" vertical="center"/>
      <protection/>
    </xf>
    <xf numFmtId="0" fontId="88" fillId="41" borderId="0" xfId="73" applyFont="1" applyFill="1" applyAlignment="1">
      <alignment vertical="center"/>
      <protection/>
    </xf>
    <xf numFmtId="0" fontId="6" fillId="41" borderId="0" xfId="73" applyFont="1" applyFill="1" applyAlignment="1">
      <alignment horizontal="left" vertical="center"/>
      <protection/>
    </xf>
    <xf numFmtId="0" fontId="88" fillId="41" borderId="17" xfId="0" applyFont="1" applyFill="1" applyBorder="1" applyAlignment="1">
      <alignment horizontal="center" vertical="center" wrapText="1"/>
    </xf>
    <xf numFmtId="4" fontId="90" fillId="41" borderId="17" xfId="0" applyNumberFormat="1" applyFont="1" applyFill="1" applyBorder="1" applyAlignment="1">
      <alignment horizontal="center" vertical="center" wrapText="1"/>
    </xf>
    <xf numFmtId="0" fontId="88" fillId="41" borderId="16" xfId="0" applyFont="1" applyFill="1" applyBorder="1" applyAlignment="1">
      <alignment horizontal="center" vertical="center" wrapText="1"/>
    </xf>
    <xf numFmtId="4" fontId="90" fillId="41" borderId="16" xfId="0" applyNumberFormat="1" applyFont="1" applyFill="1" applyBorder="1" applyAlignment="1">
      <alignment horizontal="center" vertical="center" wrapText="1"/>
    </xf>
    <xf numFmtId="49" fontId="45" fillId="41" borderId="16" xfId="0" applyNumberFormat="1" applyFont="1" applyFill="1" applyBorder="1" applyAlignment="1">
      <alignment horizontal="center" vertical="center"/>
    </xf>
    <xf numFmtId="49" fontId="45" fillId="41" borderId="16" xfId="0" applyNumberFormat="1" applyFont="1" applyFill="1" applyBorder="1" applyAlignment="1">
      <alignment horizontal="center" vertical="center" wrapText="1"/>
    </xf>
    <xf numFmtId="0" fontId="45" fillId="41" borderId="16" xfId="97" applyFont="1" applyFill="1" applyBorder="1" applyAlignment="1">
      <alignment horizontal="left" vertical="center" wrapText="1"/>
      <protection/>
    </xf>
    <xf numFmtId="0" fontId="90" fillId="41" borderId="16" xfId="0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194" fontId="45" fillId="43" borderId="16" xfId="0" applyNumberFormat="1" applyFont="1" applyFill="1" applyBorder="1" applyAlignment="1">
      <alignment horizontal="left" vertical="center" wrapText="1"/>
    </xf>
    <xf numFmtId="1" fontId="46" fillId="43" borderId="16" xfId="91" applyNumberFormat="1" applyFont="1" applyFill="1" applyBorder="1" applyAlignment="1">
      <alignment horizontal="center" vertical="center" wrapText="1"/>
      <protection/>
    </xf>
    <xf numFmtId="4" fontId="37" fillId="41" borderId="16" xfId="0" applyNumberFormat="1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0" fontId="4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/>
    </xf>
    <xf numFmtId="181" fontId="0" fillId="41" borderId="0" xfId="73" applyNumberFormat="1" applyFill="1">
      <alignment/>
      <protection/>
    </xf>
    <xf numFmtId="0" fontId="90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left" vertical="center" wrapText="1"/>
      <protection/>
    </xf>
    <xf numFmtId="0" fontId="91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top" wrapText="1"/>
      <protection/>
    </xf>
    <xf numFmtId="220" fontId="89" fillId="41" borderId="16" xfId="114" applyNumberFormat="1" applyFont="1" applyFill="1" applyBorder="1" applyAlignment="1">
      <alignment horizontal="center" vertical="center" wrapText="1"/>
    </xf>
    <xf numFmtId="0" fontId="92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left" wrapText="1"/>
      <protection/>
    </xf>
    <xf numFmtId="0" fontId="89" fillId="41" borderId="16" xfId="73" applyFont="1" applyFill="1" applyBorder="1" applyAlignment="1">
      <alignment horizontal="center" wrapText="1"/>
      <protection/>
    </xf>
    <xf numFmtId="0" fontId="6" fillId="41" borderId="0" xfId="73" applyFont="1" applyFill="1" applyAlignment="1">
      <alignment vertical="center"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0" fillId="41" borderId="0" xfId="73" applyFont="1" applyFill="1">
      <alignment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47" fillId="41" borderId="16" xfId="74" applyFont="1" applyFill="1" applyBorder="1" applyAlignment="1">
      <alignment horizontal="left" vertical="center" wrapText="1"/>
      <protection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 wrapText="1"/>
    </xf>
    <xf numFmtId="1" fontId="47" fillId="43" borderId="16" xfId="91" applyNumberFormat="1" applyFont="1" applyFill="1" applyBorder="1" applyAlignment="1">
      <alignment horizontal="left" vertical="center" wrapText="1"/>
      <protection/>
    </xf>
    <xf numFmtId="1" fontId="47" fillId="41" borderId="16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left" vertical="center" wrapText="1"/>
    </xf>
    <xf numFmtId="0" fontId="49" fillId="41" borderId="0" xfId="73" applyFont="1" applyFill="1" applyAlignment="1">
      <alignment vertical="center"/>
      <protection/>
    </xf>
    <xf numFmtId="0" fontId="47" fillId="41" borderId="16" xfId="0" applyFont="1" applyFill="1" applyBorder="1" applyAlignment="1">
      <alignment horizontal="left" vertical="center" wrapText="1"/>
    </xf>
    <xf numFmtId="4" fontId="88" fillId="41" borderId="17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4" fontId="88" fillId="41" borderId="16" xfId="0" applyNumberFormat="1" applyFont="1" applyFill="1" applyBorder="1" applyAlignment="1">
      <alignment horizontal="center" vertical="center" wrapText="1"/>
    </xf>
    <xf numFmtId="3" fontId="6" fillId="41" borderId="0" xfId="0" applyNumberFormat="1" applyFont="1" applyFill="1" applyAlignment="1">
      <alignment vertical="distributed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left" vertical="center" wrapText="1"/>
    </xf>
    <xf numFmtId="9" fontId="89" fillId="41" borderId="16" xfId="6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77" fillId="41" borderId="16" xfId="73" applyFont="1" applyFill="1" applyBorder="1" applyAlignment="1">
      <alignment horizontal="center" vertical="center" wrapText="1"/>
      <protection/>
    </xf>
    <xf numFmtId="0" fontId="77" fillId="41" borderId="16" xfId="73" applyFont="1" applyFill="1" applyBorder="1" applyAlignment="1">
      <alignment horizontal="left" vertical="center" wrapText="1"/>
      <protection/>
    </xf>
    <xf numFmtId="194" fontId="89" fillId="41" borderId="16" xfId="60" applyNumberFormat="1" applyFont="1" applyFill="1" applyBorder="1" applyAlignment="1">
      <alignment horizontal="center" vertical="center" wrapText="1"/>
    </xf>
    <xf numFmtId="0" fontId="91" fillId="41" borderId="16" xfId="73" applyFont="1" applyFill="1" applyBorder="1" applyAlignment="1">
      <alignment horizontal="left" wrapText="1"/>
      <protection/>
    </xf>
    <xf numFmtId="181" fontId="90" fillId="41" borderId="16" xfId="73" applyNumberFormat="1" applyFont="1" applyFill="1" applyBorder="1" applyAlignment="1">
      <alignment vertical="center" wrapText="1"/>
      <protection/>
    </xf>
    <xf numFmtId="181" fontId="91" fillId="41" borderId="16" xfId="73" applyNumberFormat="1" applyFont="1" applyFill="1" applyBorder="1" applyAlignment="1">
      <alignment vertical="center" wrapText="1"/>
      <protection/>
    </xf>
    <xf numFmtId="189" fontId="89" fillId="41" borderId="16" xfId="114" applyFont="1" applyFill="1" applyBorder="1" applyAlignment="1">
      <alignment vertical="center" wrapText="1"/>
    </xf>
    <xf numFmtId="181" fontId="88" fillId="41" borderId="16" xfId="73" applyNumberFormat="1" applyFont="1" applyFill="1" applyBorder="1" applyAlignment="1">
      <alignment vertical="center" wrapText="1"/>
      <protection/>
    </xf>
    <xf numFmtId="189" fontId="92" fillId="41" borderId="16" xfId="114" applyFont="1" applyFill="1" applyBorder="1" applyAlignment="1">
      <alignment vertical="center" wrapText="1"/>
    </xf>
    <xf numFmtId="0" fontId="89" fillId="41" borderId="16" xfId="73" applyFont="1" applyFill="1" applyBorder="1" applyAlignment="1">
      <alignment vertical="center" wrapText="1"/>
      <protection/>
    </xf>
    <xf numFmtId="222" fontId="91" fillId="41" borderId="16" xfId="114" applyNumberFormat="1" applyFont="1" applyFill="1" applyBorder="1" applyAlignment="1">
      <alignment vertical="center" wrapText="1"/>
    </xf>
    <xf numFmtId="189" fontId="91" fillId="41" borderId="16" xfId="114" applyFont="1" applyFill="1" applyBorder="1" applyAlignment="1">
      <alignment vertical="center" wrapText="1"/>
    </xf>
    <xf numFmtId="189" fontId="90" fillId="41" borderId="16" xfId="114" applyFont="1" applyFill="1" applyBorder="1" applyAlignment="1">
      <alignment vertical="center" wrapText="1"/>
    </xf>
    <xf numFmtId="0" fontId="6" fillId="40" borderId="0" xfId="99" applyFont="1" applyFill="1" applyAlignment="1">
      <alignment/>
      <protection/>
    </xf>
    <xf numFmtId="0" fontId="6" fillId="40" borderId="0" xfId="0" applyFont="1" applyFill="1" applyAlignment="1">
      <alignment horizontal="right" vertical="center"/>
    </xf>
    <xf numFmtId="0" fontId="4" fillId="40" borderId="16" xfId="0" applyFont="1" applyFill="1" applyBorder="1" applyAlignment="1">
      <alignment horizontal="center" vertical="center"/>
    </xf>
    <xf numFmtId="0" fontId="6" fillId="40" borderId="0" xfId="99" applyFont="1" applyFill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4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3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4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79" fillId="0" borderId="0" xfId="0" applyFont="1" applyFill="1" applyAlignment="1">
      <alignment horizontal="center" vertical="center" wrapText="1"/>
    </xf>
    <xf numFmtId="49" fontId="79" fillId="41" borderId="0" xfId="0" applyNumberFormat="1" applyFont="1" applyFill="1" applyAlignment="1">
      <alignment horizontal="center" vertical="center"/>
    </xf>
    <xf numFmtId="0" fontId="76" fillId="41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16" xfId="96" applyFont="1" applyFill="1" applyBorder="1" applyAlignment="1">
      <alignment horizontal="center"/>
      <protection/>
    </xf>
    <xf numFmtId="0" fontId="84" fillId="0" borderId="0" xfId="96" applyFont="1" applyFill="1" applyAlignment="1">
      <alignment horizontal="center" vertical="center" wrapText="1"/>
      <protection/>
    </xf>
    <xf numFmtId="0" fontId="78" fillId="0" borderId="21" xfId="96" applyFont="1" applyFill="1" applyBorder="1" applyAlignment="1">
      <alignment horizontal="center" vertical="center"/>
      <protection/>
    </xf>
    <xf numFmtId="0" fontId="78" fillId="0" borderId="25" xfId="96" applyFont="1" applyFill="1" applyBorder="1" applyAlignment="1">
      <alignment horizontal="center"/>
      <protection/>
    </xf>
    <xf numFmtId="0" fontId="78" fillId="0" borderId="22" xfId="96" applyFont="1" applyFill="1" applyBorder="1" applyAlignment="1">
      <alignment horizontal="center"/>
      <protection/>
    </xf>
    <xf numFmtId="0" fontId="79" fillId="0" borderId="0" xfId="96" applyFont="1" applyFill="1" applyAlignment="1">
      <alignment horizontal="center"/>
      <protection/>
    </xf>
    <xf numFmtId="0" fontId="85" fillId="0" borderId="0" xfId="96" applyFont="1" applyFill="1" applyAlignment="1">
      <alignment horizontal="center"/>
      <protection/>
    </xf>
    <xf numFmtId="0" fontId="93" fillId="0" borderId="0" xfId="96" applyFont="1" applyFill="1" applyAlignment="1" quotePrefix="1">
      <alignment horizontal="center"/>
      <protection/>
    </xf>
    <xf numFmtId="0" fontId="84" fillId="0" borderId="0" xfId="96" applyFont="1" applyFill="1" applyAlignment="1">
      <alignment horizontal="center"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8" fillId="0" borderId="17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center"/>
      <protection/>
    </xf>
    <xf numFmtId="0" fontId="94" fillId="41" borderId="0" xfId="73" applyFont="1" applyFill="1" applyAlignment="1">
      <alignment horizontal="center" vertical="center"/>
      <protection/>
    </xf>
    <xf numFmtId="0" fontId="6" fillId="41" borderId="0" xfId="0" applyNumberFormat="1" applyFont="1" applyFill="1" applyAlignment="1" applyProtection="1">
      <alignment horizontal="center" vertical="center" wrapText="1"/>
      <protection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27" xfId="0" applyNumberFormat="1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27" xfId="0" applyNumberFormat="1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49" fontId="6" fillId="41" borderId="27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27" xfId="0" applyNumberFormat="1" applyFont="1" applyFill="1" applyBorder="1" applyAlignment="1" applyProtection="1">
      <alignment horizontal="left" vertical="center" wrapText="1"/>
      <protection/>
    </xf>
    <xf numFmtId="0" fontId="0" fillId="41" borderId="28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41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34" fillId="41" borderId="0" xfId="0" applyNumberFormat="1" applyFont="1" applyFill="1" applyAlignment="1" applyProtection="1">
      <alignment horizontal="center" vertical="center" wrapText="1"/>
      <protection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194" fontId="6" fillId="41" borderId="17" xfId="0" applyNumberFormat="1" applyFont="1" applyFill="1" applyBorder="1" applyAlignment="1">
      <alignment horizontal="center" vertical="center" wrapText="1"/>
    </xf>
    <xf numFmtId="194" fontId="6" fillId="41" borderId="27" xfId="0" applyNumberFormat="1" applyFont="1" applyFill="1" applyBorder="1" applyAlignment="1">
      <alignment horizontal="center" vertical="center" wrapText="1"/>
    </xf>
    <xf numFmtId="194" fontId="6" fillId="41" borderId="28" xfId="0" applyNumberFormat="1" applyFont="1" applyFill="1" applyBorder="1" applyAlignment="1">
      <alignment horizontal="center" vertical="center" wrapText="1"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39" fillId="40" borderId="0" xfId="0" applyNumberFormat="1" applyFont="1" applyFill="1" applyBorder="1" applyAlignment="1" applyProtection="1">
      <alignment horizontal="center" vertical="center" wrapText="1"/>
      <protection/>
    </xf>
    <xf numFmtId="0" fontId="34" fillId="40" borderId="0" xfId="0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_Додаток _ 3 зм_ни 4575" xfId="76"/>
    <cellStyle name="Зв'язана клітинка" xfId="77"/>
    <cellStyle name="Итог 2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Контрольная ячейка 2" xfId="86"/>
    <cellStyle name="Назва" xfId="87"/>
    <cellStyle name="Нейтральний" xfId="88"/>
    <cellStyle name="Нейтральный 2" xfId="89"/>
    <cellStyle name="Обчислення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_ZV1PIV98" xfId="97"/>
    <cellStyle name="Обычный_дод на комісію про затверд бюд 2004" xfId="98"/>
    <cellStyle name="Обычный_дод на комісію про затверд бюд 2004_Dod 4." xfId="99"/>
    <cellStyle name="Обычный_Додатки 2004" xfId="100"/>
    <cellStyle name="Обычный_ОБЛАСТІ 2002 РІЙОНИ 2002" xfId="101"/>
    <cellStyle name="Followed Hyperlink" xfId="102"/>
    <cellStyle name="Підсумок" xfId="103"/>
    <cellStyle name="Плохой 2" xfId="104"/>
    <cellStyle name="Поганий" xfId="105"/>
    <cellStyle name="Пояснение 2" xfId="106"/>
    <cellStyle name="Примечание 2" xfId="107"/>
    <cellStyle name="Примітка" xfId="108"/>
    <cellStyle name="Результат" xfId="109"/>
    <cellStyle name="Связанная ячейка 2" xfId="110"/>
    <cellStyle name="Текст попередження" xfId="111"/>
    <cellStyle name="Текст пояснення" xfId="112"/>
    <cellStyle name="Текст предупреждения 2" xfId="113"/>
    <cellStyle name="Comma" xfId="114"/>
    <cellStyle name="Comma [0]" xfId="115"/>
    <cellStyle name="Фінансовий 2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97">
      <selection activeCell="A115" sqref="A115:IV115"/>
    </sheetView>
  </sheetViews>
  <sheetFormatPr defaultColWidth="9.00390625" defaultRowHeight="12.75"/>
  <cols>
    <col min="1" max="1" width="13.00390625" style="158" customWidth="1"/>
    <col min="2" max="2" width="65.25390625" style="295" customWidth="1"/>
    <col min="3" max="3" width="23.375" style="9" customWidth="1"/>
    <col min="4" max="4" width="25.625" style="223" customWidth="1"/>
    <col min="5" max="5" width="21.125" style="9" customWidth="1"/>
    <col min="6" max="6" width="21.625" style="9" customWidth="1"/>
    <col min="7" max="7" width="23.625" style="223" customWidth="1"/>
    <col min="8" max="8" width="18.003906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9" customFormat="1" ht="73.5" customHeight="1">
      <c r="A1" s="145"/>
      <c r="B1" s="290"/>
      <c r="C1" s="475" t="s">
        <v>563</v>
      </c>
      <c r="D1" s="475"/>
      <c r="E1" s="475"/>
      <c r="F1" s="475"/>
      <c r="G1" s="291"/>
      <c r="H1" s="292"/>
      <c r="I1" s="293"/>
      <c r="J1" s="156"/>
      <c r="K1" s="156"/>
      <c r="L1" s="156"/>
      <c r="M1" s="156"/>
      <c r="N1" s="156"/>
      <c r="O1" s="156"/>
      <c r="P1" s="156"/>
      <c r="Q1" s="156"/>
    </row>
    <row r="2" spans="1:17" s="9" customFormat="1" ht="18.75" customHeight="1">
      <c r="A2" s="145"/>
      <c r="B2" s="290"/>
      <c r="C2" s="1"/>
      <c r="D2" s="294"/>
      <c r="E2" s="294"/>
      <c r="F2" s="294"/>
      <c r="G2" s="291"/>
      <c r="H2" s="292"/>
      <c r="I2" s="293"/>
      <c r="J2" s="156"/>
      <c r="K2" s="156"/>
      <c r="L2" s="156"/>
      <c r="M2" s="156"/>
      <c r="N2" s="156"/>
      <c r="O2" s="156"/>
      <c r="P2" s="156"/>
      <c r="Q2" s="156"/>
    </row>
    <row r="3" spans="1:17" s="9" customFormat="1" ht="27.75" customHeight="1">
      <c r="A3" s="476" t="s">
        <v>287</v>
      </c>
      <c r="B3" s="477"/>
      <c r="C3" s="477"/>
      <c r="D3" s="477"/>
      <c r="E3" s="477"/>
      <c r="F3" s="477"/>
      <c r="G3" s="42"/>
      <c r="H3" s="42"/>
      <c r="I3" s="43"/>
      <c r="J3" s="156"/>
      <c r="K3" s="156"/>
      <c r="L3" s="156"/>
      <c r="M3" s="156"/>
      <c r="N3" s="156"/>
      <c r="O3" s="156"/>
      <c r="P3" s="156"/>
      <c r="Q3" s="156"/>
    </row>
    <row r="4" spans="1:6" s="49" customFormat="1" ht="24.75" customHeight="1">
      <c r="A4" s="478" t="s">
        <v>463</v>
      </c>
      <c r="B4" s="478"/>
      <c r="C4" s="478"/>
      <c r="D4" s="478"/>
      <c r="E4" s="478"/>
      <c r="F4" s="478"/>
    </row>
    <row r="5" spans="1:6" s="157" customFormat="1" ht="24.75" customHeight="1">
      <c r="A5" s="479" t="s">
        <v>288</v>
      </c>
      <c r="B5" s="479"/>
      <c r="C5" s="479"/>
      <c r="D5" s="479"/>
      <c r="E5" s="479"/>
      <c r="F5" s="479"/>
    </row>
    <row r="6" spans="1:17" s="9" customFormat="1" ht="24.75" customHeight="1">
      <c r="A6" s="480" t="s">
        <v>270</v>
      </c>
      <c r="B6" s="480"/>
      <c r="C6" s="480"/>
      <c r="D6" s="480"/>
      <c r="E6" s="480"/>
      <c r="F6" s="480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7" s="9" customFormat="1" ht="24.75" customHeight="1">
      <c r="A7" s="154"/>
      <c r="B7" s="295"/>
      <c r="C7" s="154"/>
      <c r="D7" s="223"/>
      <c r="F7" s="198" t="s">
        <v>342</v>
      </c>
      <c r="G7" s="223"/>
    </row>
    <row r="8" spans="1:17" s="153" customFormat="1" ht="24.75" customHeight="1">
      <c r="A8" s="470" t="s">
        <v>54</v>
      </c>
      <c r="B8" s="472" t="s">
        <v>250</v>
      </c>
      <c r="C8" s="470" t="s">
        <v>232</v>
      </c>
      <c r="D8" s="473" t="s">
        <v>76</v>
      </c>
      <c r="E8" s="470" t="s">
        <v>56</v>
      </c>
      <c r="F8" s="470"/>
      <c r="G8" s="29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3" customFormat="1" ht="50.25" customHeight="1">
      <c r="A9" s="470"/>
      <c r="B9" s="472"/>
      <c r="C9" s="470"/>
      <c r="D9" s="474"/>
      <c r="E9" s="146" t="s">
        <v>233</v>
      </c>
      <c r="F9" s="279" t="s">
        <v>236</v>
      </c>
      <c r="G9" s="296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53" customFormat="1" ht="18.75" customHeight="1">
      <c r="A10" s="146">
        <v>1</v>
      </c>
      <c r="B10" s="279">
        <v>2</v>
      </c>
      <c r="C10" s="146">
        <v>3</v>
      </c>
      <c r="D10" s="278">
        <v>4</v>
      </c>
      <c r="E10" s="146">
        <v>5</v>
      </c>
      <c r="F10" s="279">
        <v>6</v>
      </c>
      <c r="G10" s="296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7" s="153" customFormat="1" ht="24.75" customHeight="1">
      <c r="A11" s="159">
        <v>10000000</v>
      </c>
      <c r="B11" s="23" t="s">
        <v>77</v>
      </c>
      <c r="C11" s="160">
        <f aca="true" t="shared" si="0" ref="C11:C77">D11+E11</f>
        <v>915940800</v>
      </c>
      <c r="D11" s="161">
        <f>D12+D25+D31+D50+D20</f>
        <v>915777200</v>
      </c>
      <c r="E11" s="161">
        <f>E12+E25+E31+E50</f>
        <v>163600</v>
      </c>
      <c r="F11" s="161"/>
      <c r="G11" s="225"/>
    </row>
    <row r="12" spans="1:7" s="153" customFormat="1" ht="38.25" customHeight="1">
      <c r="A12" s="159">
        <v>11000000</v>
      </c>
      <c r="B12" s="19" t="s">
        <v>78</v>
      </c>
      <c r="C12" s="160">
        <f t="shared" si="0"/>
        <v>654251700</v>
      </c>
      <c r="D12" s="161">
        <f>D13+D18</f>
        <v>654251700</v>
      </c>
      <c r="E12" s="161">
        <f>E13+E18</f>
        <v>0</v>
      </c>
      <c r="F12" s="161"/>
      <c r="G12" s="225"/>
    </row>
    <row r="13" spans="1:7" s="153" customFormat="1" ht="31.5" customHeight="1">
      <c r="A13" s="159">
        <v>11010000</v>
      </c>
      <c r="B13" s="19" t="s">
        <v>79</v>
      </c>
      <c r="C13" s="160">
        <f t="shared" si="0"/>
        <v>652867400</v>
      </c>
      <c r="D13" s="161">
        <f>SUM(D14:D17)</f>
        <v>652867400</v>
      </c>
      <c r="E13" s="161"/>
      <c r="F13" s="161"/>
      <c r="G13" s="225"/>
    </row>
    <row r="14" spans="1:9" s="9" customFormat="1" ht="50.25" customHeight="1">
      <c r="A14" s="162">
        <v>11010100</v>
      </c>
      <c r="B14" s="169" t="s">
        <v>80</v>
      </c>
      <c r="C14" s="163">
        <f t="shared" si="0"/>
        <v>521922400</v>
      </c>
      <c r="D14" s="163">
        <v>521922400</v>
      </c>
      <c r="E14" s="163"/>
      <c r="F14" s="163"/>
      <c r="G14" s="223"/>
      <c r="I14" s="297"/>
    </row>
    <row r="15" spans="1:7" s="9" customFormat="1" ht="64.5" customHeight="1">
      <c r="A15" s="162">
        <v>11010200</v>
      </c>
      <c r="B15" s="169" t="s">
        <v>81</v>
      </c>
      <c r="C15" s="163">
        <f t="shared" si="0"/>
        <v>116900000</v>
      </c>
      <c r="D15" s="164">
        <v>116900000</v>
      </c>
      <c r="E15" s="163"/>
      <c r="F15" s="163"/>
      <c r="G15" s="223"/>
    </row>
    <row r="16" spans="1:7" s="9" customFormat="1" ht="36.75" customHeight="1">
      <c r="A16" s="162">
        <v>11010400</v>
      </c>
      <c r="B16" s="169" t="s">
        <v>82</v>
      </c>
      <c r="C16" s="163">
        <f t="shared" si="0"/>
        <v>5300000</v>
      </c>
      <c r="D16" s="163">
        <v>5300000</v>
      </c>
      <c r="E16" s="163"/>
      <c r="F16" s="163"/>
      <c r="G16" s="223"/>
    </row>
    <row r="17" spans="1:7" s="9" customFormat="1" ht="43.5" customHeight="1">
      <c r="A17" s="162">
        <v>11010500</v>
      </c>
      <c r="B17" s="169" t="s">
        <v>83</v>
      </c>
      <c r="C17" s="163">
        <f t="shared" si="0"/>
        <v>8745000</v>
      </c>
      <c r="D17" s="163">
        <v>8745000</v>
      </c>
      <c r="E17" s="163"/>
      <c r="F17" s="163"/>
      <c r="G17" s="223"/>
    </row>
    <row r="18" spans="1:7" s="153" customFormat="1" ht="19.5" customHeight="1">
      <c r="A18" s="159">
        <v>11020000</v>
      </c>
      <c r="B18" s="19" t="s">
        <v>84</v>
      </c>
      <c r="C18" s="160">
        <f t="shared" si="0"/>
        <v>1384300</v>
      </c>
      <c r="D18" s="161">
        <f>D19</f>
        <v>1384300</v>
      </c>
      <c r="E18" s="160"/>
      <c r="F18" s="160"/>
      <c r="G18" s="225"/>
    </row>
    <row r="19" spans="1:7" s="9" customFormat="1" ht="33.75" customHeight="1">
      <c r="A19" s="162">
        <v>11020200</v>
      </c>
      <c r="B19" s="44" t="s">
        <v>85</v>
      </c>
      <c r="C19" s="163">
        <f t="shared" si="0"/>
        <v>1384300</v>
      </c>
      <c r="D19" s="165">
        <v>1384300</v>
      </c>
      <c r="E19" s="163"/>
      <c r="F19" s="163"/>
      <c r="G19" s="223"/>
    </row>
    <row r="20" spans="1:7" s="153" customFormat="1" ht="33.75" customHeight="1">
      <c r="A20" s="166">
        <v>13000000</v>
      </c>
      <c r="B20" s="102" t="s">
        <v>289</v>
      </c>
      <c r="C20" s="160">
        <f t="shared" si="0"/>
        <v>722300</v>
      </c>
      <c r="D20" s="161">
        <f>D21+D23</f>
        <v>722300</v>
      </c>
      <c r="E20" s="160"/>
      <c r="F20" s="160"/>
      <c r="G20" s="225"/>
    </row>
    <row r="21" spans="1:7" s="153" customFormat="1" ht="33.75" customHeight="1">
      <c r="A21" s="166">
        <v>13010000</v>
      </c>
      <c r="B21" s="102" t="s">
        <v>290</v>
      </c>
      <c r="C21" s="160">
        <f t="shared" si="0"/>
        <v>697300</v>
      </c>
      <c r="D21" s="161">
        <f>D22</f>
        <v>697300</v>
      </c>
      <c r="E21" s="160"/>
      <c r="F21" s="160"/>
      <c r="G21" s="225"/>
    </row>
    <row r="22" spans="1:7" s="9" customFormat="1" ht="64.5" customHeight="1">
      <c r="A22" s="167">
        <v>13010200</v>
      </c>
      <c r="B22" s="103" t="s">
        <v>291</v>
      </c>
      <c r="C22" s="163">
        <f t="shared" si="0"/>
        <v>697300</v>
      </c>
      <c r="D22" s="165">
        <v>697300</v>
      </c>
      <c r="E22" s="163"/>
      <c r="F22" s="163"/>
      <c r="G22" s="223"/>
    </row>
    <row r="23" spans="1:7" s="153" customFormat="1" ht="33.75" customHeight="1">
      <c r="A23" s="166">
        <v>13030000</v>
      </c>
      <c r="B23" s="102" t="s">
        <v>292</v>
      </c>
      <c r="C23" s="160">
        <f t="shared" si="0"/>
        <v>25000</v>
      </c>
      <c r="D23" s="161">
        <f>D24</f>
        <v>25000</v>
      </c>
      <c r="E23" s="160"/>
      <c r="F23" s="160"/>
      <c r="G23" s="225"/>
    </row>
    <row r="24" spans="1:7" s="9" customFormat="1" ht="48.75" customHeight="1">
      <c r="A24" s="167">
        <v>13030100</v>
      </c>
      <c r="B24" s="103" t="s">
        <v>293</v>
      </c>
      <c r="C24" s="163">
        <f t="shared" si="0"/>
        <v>25000</v>
      </c>
      <c r="D24" s="165">
        <v>25000</v>
      </c>
      <c r="E24" s="163"/>
      <c r="F24" s="163"/>
      <c r="G24" s="223"/>
    </row>
    <row r="25" spans="1:7" s="153" customFormat="1" ht="21.75" customHeight="1">
      <c r="A25" s="159">
        <v>14000000</v>
      </c>
      <c r="B25" s="45" t="s">
        <v>86</v>
      </c>
      <c r="C25" s="160">
        <f t="shared" si="0"/>
        <v>74293000</v>
      </c>
      <c r="D25" s="161">
        <f>D30+D26+D28</f>
        <v>74293000</v>
      </c>
      <c r="E25" s="160"/>
      <c r="F25" s="160"/>
      <c r="G25" s="225"/>
    </row>
    <row r="26" spans="1:7" s="153" customFormat="1" ht="33.75" customHeight="1">
      <c r="A26" s="150">
        <v>14020000</v>
      </c>
      <c r="B26" s="19" t="s">
        <v>226</v>
      </c>
      <c r="C26" s="160">
        <f t="shared" si="0"/>
        <v>7245000</v>
      </c>
      <c r="D26" s="161">
        <f>D27</f>
        <v>7245000</v>
      </c>
      <c r="E26" s="160"/>
      <c r="F26" s="160"/>
      <c r="G26" s="225"/>
    </row>
    <row r="27" spans="1:7" s="9" customFormat="1" ht="33.75" customHeight="1">
      <c r="A27" s="149">
        <v>14021900</v>
      </c>
      <c r="B27" s="169" t="s">
        <v>227</v>
      </c>
      <c r="C27" s="163">
        <f t="shared" si="0"/>
        <v>7245000</v>
      </c>
      <c r="D27" s="165">
        <v>7245000</v>
      </c>
      <c r="E27" s="163"/>
      <c r="F27" s="163"/>
      <c r="G27" s="223"/>
    </row>
    <row r="28" spans="1:7" s="153" customFormat="1" ht="33.75" customHeight="1">
      <c r="A28" s="150">
        <v>14030000</v>
      </c>
      <c r="B28" s="19" t="s">
        <v>228</v>
      </c>
      <c r="C28" s="160">
        <f t="shared" si="0"/>
        <v>24675000</v>
      </c>
      <c r="D28" s="161">
        <f>D29</f>
        <v>24675000</v>
      </c>
      <c r="E28" s="160"/>
      <c r="F28" s="160"/>
      <c r="G28" s="225"/>
    </row>
    <row r="29" spans="1:7" s="9" customFormat="1" ht="33.75" customHeight="1">
      <c r="A29" s="149">
        <v>14031900</v>
      </c>
      <c r="B29" s="169" t="s">
        <v>227</v>
      </c>
      <c r="C29" s="163">
        <f t="shared" si="0"/>
        <v>24675000</v>
      </c>
      <c r="D29" s="165">
        <v>24675000</v>
      </c>
      <c r="E29" s="163"/>
      <c r="F29" s="163"/>
      <c r="G29" s="223"/>
    </row>
    <row r="30" spans="1:7" s="153" customFormat="1" ht="33.75" customHeight="1">
      <c r="A30" s="159">
        <v>14040000</v>
      </c>
      <c r="B30" s="19" t="s">
        <v>87</v>
      </c>
      <c r="C30" s="160">
        <f t="shared" si="0"/>
        <v>42373000</v>
      </c>
      <c r="D30" s="161">
        <v>42373000</v>
      </c>
      <c r="E30" s="160"/>
      <c r="F30" s="160"/>
      <c r="G30" s="225"/>
    </row>
    <row r="31" spans="1:7" s="153" customFormat="1" ht="57.75" customHeight="1">
      <c r="A31" s="159">
        <v>18000000</v>
      </c>
      <c r="B31" s="19" t="s">
        <v>464</v>
      </c>
      <c r="C31" s="160">
        <f t="shared" si="0"/>
        <v>186510200</v>
      </c>
      <c r="D31" s="161">
        <f>D32+D43+D46</f>
        <v>186510200</v>
      </c>
      <c r="E31" s="161"/>
      <c r="F31" s="161"/>
      <c r="G31" s="225"/>
    </row>
    <row r="32" spans="1:7" s="153" customFormat="1" ht="28.5" customHeight="1">
      <c r="A32" s="159">
        <v>18010000</v>
      </c>
      <c r="B32" s="19" t="s">
        <v>88</v>
      </c>
      <c r="C32" s="160">
        <f t="shared" si="0"/>
        <v>68597400</v>
      </c>
      <c r="D32" s="161">
        <f>SUM(D33:D42)</f>
        <v>68597400</v>
      </c>
      <c r="E32" s="160"/>
      <c r="F32" s="160"/>
      <c r="G32" s="225"/>
    </row>
    <row r="33" spans="1:7" s="9" customFormat="1" ht="55.5" customHeight="1">
      <c r="A33" s="162">
        <v>18010100</v>
      </c>
      <c r="B33" s="169" t="s">
        <v>89</v>
      </c>
      <c r="C33" s="163">
        <f t="shared" si="0"/>
        <v>325600</v>
      </c>
      <c r="D33" s="165">
        <v>325600</v>
      </c>
      <c r="E33" s="163"/>
      <c r="F33" s="163"/>
      <c r="G33" s="223"/>
    </row>
    <row r="34" spans="1:7" s="9" customFormat="1" ht="60.75" customHeight="1">
      <c r="A34" s="162">
        <v>18010200</v>
      </c>
      <c r="B34" s="169" t="s">
        <v>90</v>
      </c>
      <c r="C34" s="163">
        <f t="shared" si="0"/>
        <v>1737300</v>
      </c>
      <c r="D34" s="165">
        <v>1737300</v>
      </c>
      <c r="E34" s="163"/>
      <c r="F34" s="163"/>
      <c r="G34" s="223"/>
    </row>
    <row r="35" spans="1:7" s="9" customFormat="1" ht="48" customHeight="1">
      <c r="A35" s="162">
        <v>18010300</v>
      </c>
      <c r="B35" s="169" t="s">
        <v>91</v>
      </c>
      <c r="C35" s="163">
        <f t="shared" si="0"/>
        <v>3275100</v>
      </c>
      <c r="D35" s="165">
        <v>3275100</v>
      </c>
      <c r="E35" s="163"/>
      <c r="F35" s="163"/>
      <c r="G35" s="223"/>
    </row>
    <row r="36" spans="1:7" s="9" customFormat="1" ht="42.75" customHeight="1">
      <c r="A36" s="162">
        <v>18010400</v>
      </c>
      <c r="B36" s="169" t="s">
        <v>92</v>
      </c>
      <c r="C36" s="163">
        <f t="shared" si="0"/>
        <v>10312500</v>
      </c>
      <c r="D36" s="165">
        <v>10312500</v>
      </c>
      <c r="E36" s="163"/>
      <c r="F36" s="163"/>
      <c r="G36" s="223"/>
    </row>
    <row r="37" spans="1:7" s="9" customFormat="1" ht="33" customHeight="1">
      <c r="A37" s="162">
        <v>18010500</v>
      </c>
      <c r="B37" s="169" t="s">
        <v>93</v>
      </c>
      <c r="C37" s="163">
        <f t="shared" si="0"/>
        <v>30808700</v>
      </c>
      <c r="D37" s="165">
        <v>30808700</v>
      </c>
      <c r="E37" s="163"/>
      <c r="F37" s="163"/>
      <c r="G37" s="223"/>
    </row>
    <row r="38" spans="1:7" s="9" customFormat="1" ht="26.25" customHeight="1">
      <c r="A38" s="162">
        <v>18010600</v>
      </c>
      <c r="B38" s="169" t="s">
        <v>94</v>
      </c>
      <c r="C38" s="163">
        <f t="shared" si="0"/>
        <v>15750000</v>
      </c>
      <c r="D38" s="165">
        <v>15750000</v>
      </c>
      <c r="E38" s="163"/>
      <c r="F38" s="163"/>
      <c r="G38" s="223"/>
    </row>
    <row r="39" spans="1:7" s="9" customFormat="1" ht="27" customHeight="1">
      <c r="A39" s="162">
        <v>18010700</v>
      </c>
      <c r="B39" s="169" t="s">
        <v>95</v>
      </c>
      <c r="C39" s="163">
        <f t="shared" si="0"/>
        <v>3924600</v>
      </c>
      <c r="D39" s="165">
        <v>3924600</v>
      </c>
      <c r="E39" s="163"/>
      <c r="F39" s="163"/>
      <c r="G39" s="223"/>
    </row>
    <row r="40" spans="1:7" s="9" customFormat="1" ht="26.25" customHeight="1">
      <c r="A40" s="162">
        <v>18010900</v>
      </c>
      <c r="B40" s="169" t="s">
        <v>96</v>
      </c>
      <c r="C40" s="163">
        <f t="shared" si="0"/>
        <v>1938600</v>
      </c>
      <c r="D40" s="165">
        <v>1938600</v>
      </c>
      <c r="E40" s="163"/>
      <c r="F40" s="163"/>
      <c r="G40" s="223"/>
    </row>
    <row r="41" spans="1:7" s="9" customFormat="1" ht="27.75" customHeight="1">
      <c r="A41" s="162">
        <v>18011000</v>
      </c>
      <c r="B41" s="169" t="s">
        <v>97</v>
      </c>
      <c r="C41" s="163">
        <f t="shared" si="0"/>
        <v>100000</v>
      </c>
      <c r="D41" s="165">
        <v>100000</v>
      </c>
      <c r="E41" s="163"/>
      <c r="F41" s="163"/>
      <c r="G41" s="223"/>
    </row>
    <row r="42" spans="1:7" s="9" customFormat="1" ht="30" customHeight="1">
      <c r="A42" s="162">
        <v>18011100</v>
      </c>
      <c r="B42" s="169" t="s">
        <v>98</v>
      </c>
      <c r="C42" s="163">
        <f t="shared" si="0"/>
        <v>425000</v>
      </c>
      <c r="D42" s="165">
        <v>425000</v>
      </c>
      <c r="E42" s="163"/>
      <c r="F42" s="163"/>
      <c r="G42" s="223"/>
    </row>
    <row r="43" spans="1:7" s="153" customFormat="1" ht="24.75" customHeight="1">
      <c r="A43" s="159">
        <v>18030000</v>
      </c>
      <c r="B43" s="19" t="s">
        <v>99</v>
      </c>
      <c r="C43" s="160">
        <f t="shared" si="0"/>
        <v>619500</v>
      </c>
      <c r="D43" s="161">
        <f>D44+D45</f>
        <v>619500</v>
      </c>
      <c r="E43" s="160"/>
      <c r="F43" s="160"/>
      <c r="G43" s="225"/>
    </row>
    <row r="44" spans="1:7" s="9" customFormat="1" ht="21" customHeight="1">
      <c r="A44" s="162">
        <v>18030100</v>
      </c>
      <c r="B44" s="169" t="s">
        <v>100</v>
      </c>
      <c r="C44" s="163">
        <f t="shared" si="0"/>
        <v>321000</v>
      </c>
      <c r="D44" s="165">
        <v>321000</v>
      </c>
      <c r="E44" s="163"/>
      <c r="F44" s="163"/>
      <c r="G44" s="223"/>
    </row>
    <row r="45" spans="1:7" s="9" customFormat="1" ht="21" customHeight="1">
      <c r="A45" s="162">
        <v>18030200</v>
      </c>
      <c r="B45" s="169" t="s">
        <v>101</v>
      </c>
      <c r="C45" s="163">
        <f t="shared" si="0"/>
        <v>298500</v>
      </c>
      <c r="D45" s="165">
        <v>298500</v>
      </c>
      <c r="E45" s="163"/>
      <c r="F45" s="163"/>
      <c r="G45" s="223"/>
    </row>
    <row r="46" spans="1:7" s="153" customFormat="1" ht="24.75" customHeight="1">
      <c r="A46" s="159">
        <v>18050000</v>
      </c>
      <c r="B46" s="19" t="s">
        <v>102</v>
      </c>
      <c r="C46" s="160">
        <f t="shared" si="0"/>
        <v>117293300</v>
      </c>
      <c r="D46" s="161">
        <f>D47+D48+D49</f>
        <v>117293300</v>
      </c>
      <c r="E46" s="160"/>
      <c r="F46" s="160"/>
      <c r="G46" s="225"/>
    </row>
    <row r="47" spans="1:7" s="9" customFormat="1" ht="24.75" customHeight="1">
      <c r="A47" s="162">
        <v>18050300</v>
      </c>
      <c r="B47" s="169" t="s">
        <v>103</v>
      </c>
      <c r="C47" s="163">
        <f t="shared" si="0"/>
        <v>15700000</v>
      </c>
      <c r="D47" s="165">
        <v>15700000</v>
      </c>
      <c r="E47" s="163"/>
      <c r="F47" s="163"/>
      <c r="G47" s="223"/>
    </row>
    <row r="48" spans="1:7" s="9" customFormat="1" ht="24.75" customHeight="1">
      <c r="A48" s="162">
        <v>18050400</v>
      </c>
      <c r="B48" s="169" t="s">
        <v>104</v>
      </c>
      <c r="C48" s="163">
        <f t="shared" si="0"/>
        <v>100993300</v>
      </c>
      <c r="D48" s="165">
        <v>100993300</v>
      </c>
      <c r="E48" s="163"/>
      <c r="F48" s="163"/>
      <c r="G48" s="223"/>
    </row>
    <row r="49" spans="1:6" ht="72" customHeight="1">
      <c r="A49" s="162">
        <v>18050500</v>
      </c>
      <c r="B49" s="155" t="s">
        <v>294</v>
      </c>
      <c r="C49" s="163">
        <f t="shared" si="0"/>
        <v>600000</v>
      </c>
      <c r="D49" s="165">
        <v>600000</v>
      </c>
      <c r="E49" s="163"/>
      <c r="F49" s="163"/>
    </row>
    <row r="50" spans="1:7" s="153" customFormat="1" ht="25.5" customHeight="1">
      <c r="A50" s="159">
        <v>19000000</v>
      </c>
      <c r="B50" s="19" t="s">
        <v>105</v>
      </c>
      <c r="C50" s="160">
        <f t="shared" si="0"/>
        <v>163600</v>
      </c>
      <c r="D50" s="161">
        <f>D51</f>
        <v>0</v>
      </c>
      <c r="E50" s="161">
        <f>E51</f>
        <v>163600</v>
      </c>
      <c r="F50" s="160"/>
      <c r="G50" s="225"/>
    </row>
    <row r="51" spans="1:7" s="153" customFormat="1" ht="24.75" customHeight="1">
      <c r="A51" s="159">
        <v>19010000</v>
      </c>
      <c r="B51" s="19" t="s">
        <v>106</v>
      </c>
      <c r="C51" s="160">
        <f t="shared" si="0"/>
        <v>163600</v>
      </c>
      <c r="D51" s="161">
        <f>D52+D53+D54</f>
        <v>0</v>
      </c>
      <c r="E51" s="161">
        <f>E52+E53+E54</f>
        <v>163600</v>
      </c>
      <c r="F51" s="160"/>
      <c r="G51" s="225"/>
    </row>
    <row r="52" spans="1:6" ht="36.75" customHeight="1">
      <c r="A52" s="162">
        <v>19010100</v>
      </c>
      <c r="B52" s="169" t="s">
        <v>107</v>
      </c>
      <c r="C52" s="163">
        <f t="shared" si="0"/>
        <v>49600</v>
      </c>
      <c r="D52" s="165"/>
      <c r="E52" s="163">
        <v>49600</v>
      </c>
      <c r="F52" s="163"/>
    </row>
    <row r="53" spans="1:6" ht="35.25" customHeight="1">
      <c r="A53" s="162">
        <v>19010200</v>
      </c>
      <c r="B53" s="169" t="s">
        <v>108</v>
      </c>
      <c r="C53" s="163">
        <f t="shared" si="0"/>
        <v>78800</v>
      </c>
      <c r="D53" s="165"/>
      <c r="E53" s="163">
        <v>78800</v>
      </c>
      <c r="F53" s="163"/>
    </row>
    <row r="54" spans="1:6" ht="45" customHeight="1">
      <c r="A54" s="162">
        <v>19010300</v>
      </c>
      <c r="B54" s="169" t="s">
        <v>109</v>
      </c>
      <c r="C54" s="163">
        <f t="shared" si="0"/>
        <v>35200</v>
      </c>
      <c r="D54" s="165"/>
      <c r="E54" s="163">
        <v>35200</v>
      </c>
      <c r="F54" s="163"/>
    </row>
    <row r="55" spans="1:7" s="153" customFormat="1" ht="24.75" customHeight="1">
      <c r="A55" s="159">
        <v>20000000</v>
      </c>
      <c r="B55" s="19" t="s">
        <v>110</v>
      </c>
      <c r="C55" s="160">
        <f t="shared" si="0"/>
        <v>67828126</v>
      </c>
      <c r="D55" s="161">
        <f>D56+D64+D76+D82+D75</f>
        <v>16100921</v>
      </c>
      <c r="E55" s="161">
        <f>E56+E64+E76+E82</f>
        <v>51727205</v>
      </c>
      <c r="F55" s="161">
        <f>F56+F64+F76+F82</f>
        <v>0</v>
      </c>
      <c r="G55" s="225"/>
    </row>
    <row r="56" spans="1:7" s="153" customFormat="1" ht="24.75" customHeight="1">
      <c r="A56" s="159">
        <v>21000000</v>
      </c>
      <c r="B56" s="19" t="s">
        <v>111</v>
      </c>
      <c r="C56" s="160">
        <f t="shared" si="0"/>
        <v>5322400</v>
      </c>
      <c r="D56" s="161">
        <f>D57+D59</f>
        <v>5242400</v>
      </c>
      <c r="E56" s="161">
        <f>E57+E59+E63</f>
        <v>80000</v>
      </c>
      <c r="F56" s="161">
        <f>F59+F63</f>
        <v>0</v>
      </c>
      <c r="G56" s="225"/>
    </row>
    <row r="57" spans="1:7" s="153" customFormat="1" ht="80.25" customHeight="1">
      <c r="A57" s="150">
        <v>21010000</v>
      </c>
      <c r="B57" s="19" t="s">
        <v>112</v>
      </c>
      <c r="C57" s="160">
        <f t="shared" si="0"/>
        <v>1893200</v>
      </c>
      <c r="D57" s="161">
        <f>D58</f>
        <v>1893200</v>
      </c>
      <c r="E57" s="161"/>
      <c r="F57" s="161"/>
      <c r="G57" s="225"/>
    </row>
    <row r="58" spans="1:6" ht="72" customHeight="1">
      <c r="A58" s="162">
        <v>21010300</v>
      </c>
      <c r="B58" s="169" t="s">
        <v>113</v>
      </c>
      <c r="C58" s="163">
        <f t="shared" si="0"/>
        <v>1893200</v>
      </c>
      <c r="D58" s="165">
        <v>1893200</v>
      </c>
      <c r="E58" s="165"/>
      <c r="F58" s="165"/>
    </row>
    <row r="59" spans="1:7" s="153" customFormat="1" ht="20.25" customHeight="1">
      <c r="A59" s="159">
        <v>21080000</v>
      </c>
      <c r="B59" s="19" t="s">
        <v>114</v>
      </c>
      <c r="C59" s="160">
        <f t="shared" si="0"/>
        <v>3349200</v>
      </c>
      <c r="D59" s="161">
        <f>D60+D61+D62</f>
        <v>3349200</v>
      </c>
      <c r="E59" s="161">
        <f>E60+E61+E62</f>
        <v>0</v>
      </c>
      <c r="F59" s="161">
        <f>F60+F61+F62</f>
        <v>0</v>
      </c>
      <c r="G59" s="225"/>
    </row>
    <row r="60" spans="1:6" ht="30" customHeight="1">
      <c r="A60" s="162">
        <v>21081100</v>
      </c>
      <c r="B60" s="169" t="s">
        <v>115</v>
      </c>
      <c r="C60" s="163">
        <f t="shared" si="0"/>
        <v>2149100</v>
      </c>
      <c r="D60" s="165">
        <v>2149100</v>
      </c>
      <c r="E60" s="163"/>
      <c r="F60" s="163"/>
    </row>
    <row r="61" spans="1:6" ht="57.75" customHeight="1">
      <c r="A61" s="162">
        <v>21081500</v>
      </c>
      <c r="B61" s="169" t="s">
        <v>116</v>
      </c>
      <c r="C61" s="163">
        <f t="shared" si="0"/>
        <v>200100</v>
      </c>
      <c r="D61" s="165">
        <v>200100</v>
      </c>
      <c r="E61" s="163"/>
      <c r="F61" s="163"/>
    </row>
    <row r="62" spans="1:6" ht="40.5" customHeight="1">
      <c r="A62" s="162">
        <v>21081700</v>
      </c>
      <c r="B62" s="169" t="s">
        <v>251</v>
      </c>
      <c r="C62" s="163">
        <f t="shared" si="0"/>
        <v>1000000</v>
      </c>
      <c r="D62" s="165">
        <v>1000000</v>
      </c>
      <c r="E62" s="163"/>
      <c r="F62" s="163"/>
    </row>
    <row r="63" spans="1:7" s="153" customFormat="1" ht="48.75" customHeight="1">
      <c r="A63" s="159">
        <v>21110000</v>
      </c>
      <c r="B63" s="19" t="s">
        <v>117</v>
      </c>
      <c r="C63" s="160">
        <f t="shared" si="0"/>
        <v>80000</v>
      </c>
      <c r="D63" s="161"/>
      <c r="E63" s="160">
        <v>80000</v>
      </c>
      <c r="F63" s="160"/>
      <c r="G63" s="225"/>
    </row>
    <row r="64" spans="1:7" s="153" customFormat="1" ht="37.5" customHeight="1">
      <c r="A64" s="159">
        <v>22000000</v>
      </c>
      <c r="B64" s="19" t="s">
        <v>118</v>
      </c>
      <c r="C64" s="160">
        <f t="shared" si="0"/>
        <v>9229500</v>
      </c>
      <c r="D64" s="161">
        <f>D65+D70+D72</f>
        <v>9229500</v>
      </c>
      <c r="E64" s="161"/>
      <c r="F64" s="161"/>
      <c r="G64" s="225"/>
    </row>
    <row r="65" spans="1:7" s="153" customFormat="1" ht="37.5" customHeight="1">
      <c r="A65" s="159">
        <v>22010000</v>
      </c>
      <c r="B65" s="19" t="s">
        <v>119</v>
      </c>
      <c r="C65" s="160">
        <f t="shared" si="0"/>
        <v>8184500</v>
      </c>
      <c r="D65" s="161">
        <f>D66+D67+D68+D69</f>
        <v>8184500</v>
      </c>
      <c r="E65" s="161"/>
      <c r="F65" s="161"/>
      <c r="G65" s="225"/>
    </row>
    <row r="66" spans="1:7" s="9" customFormat="1" ht="51" customHeight="1">
      <c r="A66" s="162">
        <v>22010300</v>
      </c>
      <c r="B66" s="169" t="s">
        <v>120</v>
      </c>
      <c r="C66" s="163">
        <f t="shared" si="0"/>
        <v>380400</v>
      </c>
      <c r="D66" s="165">
        <v>380400</v>
      </c>
      <c r="E66" s="165"/>
      <c r="F66" s="165"/>
      <c r="G66" s="223"/>
    </row>
    <row r="67" spans="1:7" s="9" customFormat="1" ht="29.25" customHeight="1">
      <c r="A67" s="162">
        <v>22012500</v>
      </c>
      <c r="B67" s="169" t="s">
        <v>121</v>
      </c>
      <c r="C67" s="163">
        <f t="shared" si="0"/>
        <v>6579900</v>
      </c>
      <c r="D67" s="165">
        <v>6579900</v>
      </c>
      <c r="E67" s="165"/>
      <c r="F67" s="165"/>
      <c r="G67" s="223"/>
    </row>
    <row r="68" spans="1:7" s="9" customFormat="1" ht="37.5" customHeight="1">
      <c r="A68" s="162">
        <v>22012600</v>
      </c>
      <c r="B68" s="169" t="s">
        <v>122</v>
      </c>
      <c r="C68" s="163">
        <f t="shared" si="0"/>
        <v>1224200</v>
      </c>
      <c r="D68" s="165">
        <v>1224200</v>
      </c>
      <c r="E68" s="165"/>
      <c r="F68" s="165"/>
      <c r="G68" s="223"/>
    </row>
    <row r="69" spans="1:7" s="9" customFormat="1" ht="86.25" customHeight="1" hidden="1">
      <c r="A69" s="162">
        <v>22012900</v>
      </c>
      <c r="B69" s="169" t="s">
        <v>123</v>
      </c>
      <c r="C69" s="163">
        <f t="shared" si="0"/>
        <v>0</v>
      </c>
      <c r="D69" s="165"/>
      <c r="E69" s="163"/>
      <c r="F69" s="163"/>
      <c r="G69" s="223"/>
    </row>
    <row r="70" spans="1:7" s="153" customFormat="1" ht="37.5" customHeight="1">
      <c r="A70" s="159">
        <v>22080000</v>
      </c>
      <c r="B70" s="19" t="s">
        <v>124</v>
      </c>
      <c r="C70" s="160">
        <f t="shared" si="0"/>
        <v>750000</v>
      </c>
      <c r="D70" s="161">
        <f>D71</f>
        <v>750000</v>
      </c>
      <c r="E70" s="160"/>
      <c r="F70" s="160"/>
      <c r="G70" s="225"/>
    </row>
    <row r="71" spans="1:7" s="9" customFormat="1" ht="51.75" customHeight="1">
      <c r="A71" s="162">
        <v>22080400</v>
      </c>
      <c r="B71" s="169" t="s">
        <v>465</v>
      </c>
      <c r="C71" s="163">
        <f t="shared" si="0"/>
        <v>750000</v>
      </c>
      <c r="D71" s="165">
        <v>750000</v>
      </c>
      <c r="E71" s="163"/>
      <c r="F71" s="163"/>
      <c r="G71" s="223"/>
    </row>
    <row r="72" spans="1:7" s="153" customFormat="1" ht="24.75" customHeight="1">
      <c r="A72" s="159">
        <v>22090000</v>
      </c>
      <c r="B72" s="19" t="s">
        <v>125</v>
      </c>
      <c r="C72" s="160">
        <f t="shared" si="0"/>
        <v>295000</v>
      </c>
      <c r="D72" s="161">
        <f>D73+D74</f>
        <v>295000</v>
      </c>
      <c r="E72" s="160"/>
      <c r="F72" s="160"/>
      <c r="G72" s="225"/>
    </row>
    <row r="73" spans="1:7" s="9" customFormat="1" ht="57.75" customHeight="1">
      <c r="A73" s="162">
        <v>22090100</v>
      </c>
      <c r="B73" s="169" t="s">
        <v>126</v>
      </c>
      <c r="C73" s="163">
        <f t="shared" si="0"/>
        <v>245000</v>
      </c>
      <c r="D73" s="165">
        <v>245000</v>
      </c>
      <c r="E73" s="163"/>
      <c r="F73" s="163"/>
      <c r="G73" s="223"/>
    </row>
    <row r="74" spans="1:7" s="9" customFormat="1" ht="34.5" customHeight="1">
      <c r="A74" s="162">
        <v>22090400</v>
      </c>
      <c r="B74" s="169" t="s">
        <v>127</v>
      </c>
      <c r="C74" s="163">
        <f t="shared" si="0"/>
        <v>50000</v>
      </c>
      <c r="D74" s="165">
        <v>50000</v>
      </c>
      <c r="E74" s="163"/>
      <c r="F74" s="163"/>
      <c r="G74" s="223"/>
    </row>
    <row r="75" spans="1:7" s="153" customFormat="1" ht="63" customHeight="1">
      <c r="A75" s="172">
        <v>22130000</v>
      </c>
      <c r="B75" s="72" t="s">
        <v>466</v>
      </c>
      <c r="C75" s="160">
        <f t="shared" si="0"/>
        <v>43200</v>
      </c>
      <c r="D75" s="161">
        <v>43200</v>
      </c>
      <c r="E75" s="160"/>
      <c r="F75" s="160"/>
      <c r="G75" s="225"/>
    </row>
    <row r="76" spans="1:7" s="153" customFormat="1" ht="24.75" customHeight="1">
      <c r="A76" s="159">
        <v>24000000</v>
      </c>
      <c r="B76" s="19" t="s">
        <v>128</v>
      </c>
      <c r="C76" s="160">
        <f t="shared" si="0"/>
        <v>1586821</v>
      </c>
      <c r="D76" s="161">
        <f>D77+D81</f>
        <v>1585821</v>
      </c>
      <c r="E76" s="161">
        <f>E77+E81</f>
        <v>1000</v>
      </c>
      <c r="F76" s="161">
        <f>F77+F81</f>
        <v>0</v>
      </c>
      <c r="G76" s="225"/>
    </row>
    <row r="77" spans="1:7" s="153" customFormat="1" ht="24.75" customHeight="1">
      <c r="A77" s="159">
        <v>24060000</v>
      </c>
      <c r="B77" s="19" t="s">
        <v>129</v>
      </c>
      <c r="C77" s="160">
        <f t="shared" si="0"/>
        <v>1586821</v>
      </c>
      <c r="D77" s="161">
        <f>D78+D79+D80</f>
        <v>1585821</v>
      </c>
      <c r="E77" s="161">
        <f>E78+E79</f>
        <v>1000</v>
      </c>
      <c r="F77" s="161">
        <f>F78+F79</f>
        <v>0</v>
      </c>
      <c r="G77" s="225"/>
    </row>
    <row r="78" spans="1:7" s="154" customFormat="1" ht="24.75" customHeight="1">
      <c r="A78" s="168">
        <v>24060300</v>
      </c>
      <c r="B78" s="169" t="s">
        <v>129</v>
      </c>
      <c r="C78" s="170">
        <f aca="true" t="shared" si="1" ref="C78:C110">D78+E78</f>
        <v>1385821</v>
      </c>
      <c r="D78" s="171">
        <v>1385821</v>
      </c>
      <c r="E78" s="170"/>
      <c r="F78" s="170"/>
      <c r="G78" s="223"/>
    </row>
    <row r="79" spans="1:7" s="9" customFormat="1" ht="50.25" customHeight="1">
      <c r="A79" s="162">
        <v>24062100</v>
      </c>
      <c r="B79" s="169" t="s">
        <v>130</v>
      </c>
      <c r="C79" s="163">
        <f t="shared" si="1"/>
        <v>1000</v>
      </c>
      <c r="D79" s="165"/>
      <c r="E79" s="163">
        <v>1000</v>
      </c>
      <c r="F79" s="163"/>
      <c r="G79" s="223"/>
    </row>
    <row r="80" spans="1:7" s="9" customFormat="1" ht="132" customHeight="1">
      <c r="A80" s="162">
        <v>24062200</v>
      </c>
      <c r="B80" s="169" t="s">
        <v>229</v>
      </c>
      <c r="C80" s="163">
        <f t="shared" si="1"/>
        <v>200000</v>
      </c>
      <c r="D80" s="165">
        <v>200000</v>
      </c>
      <c r="E80" s="170"/>
      <c r="F80" s="163"/>
      <c r="G80" s="223"/>
    </row>
    <row r="81" spans="1:7" s="153" customFormat="1" ht="39.75" customHeight="1" hidden="1">
      <c r="A81" s="150">
        <v>24170000</v>
      </c>
      <c r="B81" s="72" t="s">
        <v>131</v>
      </c>
      <c r="C81" s="173">
        <f t="shared" si="1"/>
        <v>0</v>
      </c>
      <c r="D81" s="174"/>
      <c r="E81" s="173"/>
      <c r="F81" s="173">
        <f>E81</f>
        <v>0</v>
      </c>
      <c r="G81" s="225"/>
    </row>
    <row r="82" spans="1:7" s="153" customFormat="1" ht="24.75" customHeight="1">
      <c r="A82" s="172">
        <v>25000000</v>
      </c>
      <c r="B82" s="72" t="s">
        <v>132</v>
      </c>
      <c r="C82" s="173">
        <f t="shared" si="1"/>
        <v>51646205</v>
      </c>
      <c r="D82" s="174"/>
      <c r="E82" s="173">
        <f>E83</f>
        <v>51646205</v>
      </c>
      <c r="F82" s="173"/>
      <c r="G82" s="225"/>
    </row>
    <row r="83" spans="1:7" s="153" customFormat="1" ht="36" customHeight="1">
      <c r="A83" s="172">
        <v>25010000</v>
      </c>
      <c r="B83" s="72" t="s">
        <v>133</v>
      </c>
      <c r="C83" s="173">
        <f t="shared" si="1"/>
        <v>51646205</v>
      </c>
      <c r="D83" s="174"/>
      <c r="E83" s="173">
        <f>E84+E85+E86</f>
        <v>51646205</v>
      </c>
      <c r="F83" s="173"/>
      <c r="G83" s="225"/>
    </row>
    <row r="84" spans="1:7" s="154" customFormat="1" ht="36" customHeight="1">
      <c r="A84" s="149">
        <v>25010100</v>
      </c>
      <c r="B84" s="148" t="s">
        <v>134</v>
      </c>
      <c r="C84" s="170">
        <f t="shared" si="1"/>
        <v>49973349</v>
      </c>
      <c r="D84" s="171"/>
      <c r="E84" s="170">
        <v>49973349</v>
      </c>
      <c r="F84" s="170"/>
      <c r="G84" s="223"/>
    </row>
    <row r="85" spans="1:7" s="154" customFormat="1" ht="24.75" customHeight="1">
      <c r="A85" s="149">
        <v>25010300</v>
      </c>
      <c r="B85" s="148" t="s">
        <v>135</v>
      </c>
      <c r="C85" s="170">
        <f t="shared" si="1"/>
        <v>1672856</v>
      </c>
      <c r="D85" s="171"/>
      <c r="E85" s="170">
        <v>1672856</v>
      </c>
      <c r="F85" s="170"/>
      <c r="G85" s="223"/>
    </row>
    <row r="86" spans="1:7" s="154" customFormat="1" ht="37.5" customHeight="1" hidden="1">
      <c r="A86" s="149">
        <v>25010400</v>
      </c>
      <c r="B86" s="169" t="s">
        <v>230</v>
      </c>
      <c r="C86" s="170">
        <f t="shared" si="1"/>
        <v>0</v>
      </c>
      <c r="D86" s="171"/>
      <c r="E86" s="170"/>
      <c r="F86" s="170"/>
      <c r="G86" s="223"/>
    </row>
    <row r="87" spans="1:7" s="153" customFormat="1" ht="24.75" customHeight="1">
      <c r="A87" s="172">
        <v>30000000</v>
      </c>
      <c r="B87" s="72" t="s">
        <v>136</v>
      </c>
      <c r="C87" s="173">
        <f t="shared" si="1"/>
        <v>55000000</v>
      </c>
      <c r="D87" s="174"/>
      <c r="E87" s="173">
        <f>E88+E90</f>
        <v>55000000</v>
      </c>
      <c r="F87" s="173">
        <f>F88+F90</f>
        <v>55000000</v>
      </c>
      <c r="G87" s="225"/>
    </row>
    <row r="88" spans="1:7" s="153" customFormat="1" ht="24.75" customHeight="1">
      <c r="A88" s="159">
        <v>31000000</v>
      </c>
      <c r="B88" s="19" t="s">
        <v>137</v>
      </c>
      <c r="C88" s="160">
        <f t="shared" si="1"/>
        <v>5000000</v>
      </c>
      <c r="D88" s="161"/>
      <c r="E88" s="160">
        <f>E89</f>
        <v>5000000</v>
      </c>
      <c r="F88" s="160">
        <f>E88</f>
        <v>5000000</v>
      </c>
      <c r="G88" s="225"/>
    </row>
    <row r="89" spans="1:7" s="9" customFormat="1" ht="36.75" customHeight="1">
      <c r="A89" s="162">
        <v>31030000</v>
      </c>
      <c r="B89" s="169" t="s">
        <v>138</v>
      </c>
      <c r="C89" s="163">
        <f t="shared" si="1"/>
        <v>5000000</v>
      </c>
      <c r="D89" s="165"/>
      <c r="E89" s="163">
        <v>5000000</v>
      </c>
      <c r="F89" s="163">
        <f>E89</f>
        <v>5000000</v>
      </c>
      <c r="G89" s="223"/>
    </row>
    <row r="90" spans="1:7" s="153" customFormat="1" ht="24.75" customHeight="1">
      <c r="A90" s="159">
        <v>33000000</v>
      </c>
      <c r="B90" s="19" t="s">
        <v>139</v>
      </c>
      <c r="C90" s="160">
        <f t="shared" si="1"/>
        <v>50000000</v>
      </c>
      <c r="D90" s="161"/>
      <c r="E90" s="160">
        <f>E91</f>
        <v>50000000</v>
      </c>
      <c r="F90" s="160">
        <f>E90</f>
        <v>50000000</v>
      </c>
      <c r="G90" s="225"/>
    </row>
    <row r="91" spans="1:7" s="153" customFormat="1" ht="24.75" customHeight="1">
      <c r="A91" s="159">
        <v>33010000</v>
      </c>
      <c r="B91" s="19" t="s">
        <v>140</v>
      </c>
      <c r="C91" s="160">
        <f t="shared" si="1"/>
        <v>50000000</v>
      </c>
      <c r="D91" s="161"/>
      <c r="E91" s="160">
        <f>E92+E93</f>
        <v>50000000</v>
      </c>
      <c r="F91" s="160">
        <f>F92+F93</f>
        <v>50000000</v>
      </c>
      <c r="G91" s="225"/>
    </row>
    <row r="92" spans="1:7" s="9" customFormat="1" ht="72" customHeight="1">
      <c r="A92" s="162">
        <v>33010100</v>
      </c>
      <c r="B92" s="169" t="s">
        <v>141</v>
      </c>
      <c r="C92" s="163">
        <f t="shared" si="1"/>
        <v>50000000</v>
      </c>
      <c r="D92" s="165"/>
      <c r="E92" s="163">
        <v>50000000</v>
      </c>
      <c r="F92" s="163">
        <f>E92</f>
        <v>50000000</v>
      </c>
      <c r="G92" s="223"/>
    </row>
    <row r="93" spans="1:7" s="9" customFormat="1" ht="63.75" customHeight="1" hidden="1">
      <c r="A93" s="162">
        <v>33010200</v>
      </c>
      <c r="B93" s="169" t="s">
        <v>142</v>
      </c>
      <c r="C93" s="160">
        <f t="shared" si="1"/>
        <v>0</v>
      </c>
      <c r="D93" s="165"/>
      <c r="E93" s="163"/>
      <c r="F93" s="163">
        <f>E93</f>
        <v>0</v>
      </c>
      <c r="G93" s="223"/>
    </row>
    <row r="94" spans="1:7" s="153" customFormat="1" ht="24.75" customHeight="1">
      <c r="A94" s="159">
        <v>50000000</v>
      </c>
      <c r="B94" s="19" t="s">
        <v>143</v>
      </c>
      <c r="C94" s="160">
        <f t="shared" si="1"/>
        <v>651000</v>
      </c>
      <c r="D94" s="161"/>
      <c r="E94" s="160">
        <f>E95</f>
        <v>651000</v>
      </c>
      <c r="F94" s="160"/>
      <c r="G94" s="225"/>
    </row>
    <row r="95" spans="1:6" ht="48" customHeight="1">
      <c r="A95" s="162">
        <v>50110000</v>
      </c>
      <c r="B95" s="169" t="s">
        <v>144</v>
      </c>
      <c r="C95" s="163">
        <f t="shared" si="1"/>
        <v>651000</v>
      </c>
      <c r="D95" s="165"/>
      <c r="E95" s="163">
        <v>651000</v>
      </c>
      <c r="F95" s="163"/>
    </row>
    <row r="96" spans="1:9" s="153" customFormat="1" ht="34.5" customHeight="1">
      <c r="A96" s="159"/>
      <c r="B96" s="19" t="s">
        <v>252</v>
      </c>
      <c r="C96" s="160">
        <f t="shared" si="1"/>
        <v>1039419926</v>
      </c>
      <c r="D96" s="161">
        <f>D11+D55+D87+D94</f>
        <v>931878121</v>
      </c>
      <c r="E96" s="161">
        <f>E11+E55+E87+E94</f>
        <v>107541805</v>
      </c>
      <c r="F96" s="161">
        <f>F11+F55+F87+F94</f>
        <v>55000000</v>
      </c>
      <c r="G96" s="225"/>
      <c r="H96" s="298"/>
      <c r="I96" s="40"/>
    </row>
    <row r="97" spans="1:7" s="153" customFormat="1" ht="21.75" customHeight="1">
      <c r="A97" s="159">
        <v>40000000</v>
      </c>
      <c r="B97" s="19" t="s">
        <v>146</v>
      </c>
      <c r="C97" s="160">
        <f t="shared" si="1"/>
        <v>297301200</v>
      </c>
      <c r="D97" s="161">
        <f>D98</f>
        <v>297301200</v>
      </c>
      <c r="E97" s="161">
        <f>E98</f>
        <v>0</v>
      </c>
      <c r="F97" s="161">
        <f>F98</f>
        <v>0</v>
      </c>
      <c r="G97" s="299"/>
    </row>
    <row r="98" spans="1:7" s="153" customFormat="1" ht="24.75" customHeight="1">
      <c r="A98" s="159">
        <v>41000000</v>
      </c>
      <c r="B98" s="19" t="s">
        <v>147</v>
      </c>
      <c r="C98" s="160">
        <f t="shared" si="1"/>
        <v>297301200</v>
      </c>
      <c r="D98" s="161">
        <f>D99+D104+D102</f>
        <v>297301200</v>
      </c>
      <c r="E98" s="161">
        <f>E99+E104+E102</f>
        <v>0</v>
      </c>
      <c r="F98" s="161">
        <f>F99+F104+F102</f>
        <v>0</v>
      </c>
      <c r="G98" s="225"/>
    </row>
    <row r="99" spans="1:7" s="153" customFormat="1" ht="24.75" customHeight="1">
      <c r="A99" s="159">
        <v>41030000</v>
      </c>
      <c r="B99" s="300" t="s">
        <v>21</v>
      </c>
      <c r="C99" s="160">
        <f t="shared" si="1"/>
        <v>291370800</v>
      </c>
      <c r="D99" s="161">
        <f>D101+D100</f>
        <v>291370800</v>
      </c>
      <c r="E99" s="161">
        <f>E101+E100</f>
        <v>0</v>
      </c>
      <c r="F99" s="161">
        <f>F101+F100</f>
        <v>0</v>
      </c>
      <c r="G99" s="225"/>
    </row>
    <row r="100" spans="1:7" s="154" customFormat="1" ht="62.25" customHeight="1" hidden="1">
      <c r="A100" s="110">
        <v>41032700</v>
      </c>
      <c r="B100" s="111" t="s">
        <v>467</v>
      </c>
      <c r="C100" s="163">
        <f t="shared" si="1"/>
        <v>0</v>
      </c>
      <c r="D100" s="165"/>
      <c r="E100" s="165">
        <v>0</v>
      </c>
      <c r="F100" s="163">
        <v>0</v>
      </c>
      <c r="G100" s="223"/>
    </row>
    <row r="101" spans="1:6" ht="27" customHeight="1">
      <c r="A101" s="110">
        <v>41033900</v>
      </c>
      <c r="B101" s="111" t="s">
        <v>148</v>
      </c>
      <c r="C101" s="163">
        <f t="shared" si="1"/>
        <v>291370800</v>
      </c>
      <c r="D101" s="165">
        <v>291370800</v>
      </c>
      <c r="E101" s="163"/>
      <c r="F101" s="163"/>
    </row>
    <row r="102" spans="1:17" s="4" customFormat="1" ht="32.25" customHeight="1" hidden="1">
      <c r="A102" s="279">
        <v>41040000</v>
      </c>
      <c r="B102" s="301" t="s">
        <v>332</v>
      </c>
      <c r="C102" s="160">
        <f t="shared" si="1"/>
        <v>0</v>
      </c>
      <c r="D102" s="161">
        <f>D103</f>
        <v>0</v>
      </c>
      <c r="E102" s="160"/>
      <c r="F102" s="160"/>
      <c r="G102" s="225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6" ht="66" customHeight="1" hidden="1">
      <c r="A103" s="110">
        <v>41040200</v>
      </c>
      <c r="B103" s="111" t="s">
        <v>333</v>
      </c>
      <c r="C103" s="163">
        <f t="shared" si="1"/>
        <v>0</v>
      </c>
      <c r="D103" s="165"/>
      <c r="E103" s="163"/>
      <c r="F103" s="163"/>
    </row>
    <row r="104" spans="1:7" s="153" customFormat="1" ht="40.5" customHeight="1">
      <c r="A104" s="279">
        <v>41050000</v>
      </c>
      <c r="B104" s="302" t="s">
        <v>22</v>
      </c>
      <c r="C104" s="160">
        <f t="shared" si="1"/>
        <v>5930400</v>
      </c>
      <c r="D104" s="161">
        <f>SUM(D105:D110)</f>
        <v>5930400</v>
      </c>
      <c r="E104" s="161">
        <f>SUM(E105:E110)</f>
        <v>0</v>
      </c>
      <c r="F104" s="161">
        <f>SUM(F105:F110)</f>
        <v>0</v>
      </c>
      <c r="G104" s="225"/>
    </row>
    <row r="105" spans="1:9" ht="51" customHeight="1">
      <c r="A105" s="110">
        <v>41051000</v>
      </c>
      <c r="B105" s="303" t="s">
        <v>253</v>
      </c>
      <c r="C105" s="73">
        <f t="shared" si="1"/>
        <v>3253900</v>
      </c>
      <c r="D105" s="74">
        <v>3253900</v>
      </c>
      <c r="E105" s="73"/>
      <c r="F105" s="73"/>
      <c r="I105" s="223"/>
    </row>
    <row r="106" spans="1:6" ht="52.5" customHeight="1">
      <c r="A106" s="110">
        <v>41051200</v>
      </c>
      <c r="B106" s="303" t="s">
        <v>254</v>
      </c>
      <c r="C106" s="163">
        <f t="shared" si="1"/>
        <v>2676500</v>
      </c>
      <c r="D106" s="165">
        <v>2676500</v>
      </c>
      <c r="E106" s="163"/>
      <c r="F106" s="163"/>
    </row>
    <row r="107" spans="1:6" ht="52.5" customHeight="1" hidden="1">
      <c r="A107" s="110">
        <v>41051400</v>
      </c>
      <c r="B107" s="303" t="s">
        <v>468</v>
      </c>
      <c r="C107" s="163">
        <f t="shared" si="1"/>
        <v>0</v>
      </c>
      <c r="D107" s="165"/>
      <c r="E107" s="163"/>
      <c r="F107" s="163"/>
    </row>
    <row r="108" spans="1:6" ht="39" customHeight="1" hidden="1">
      <c r="A108" s="110">
        <v>41053200</v>
      </c>
      <c r="B108" s="303" t="s">
        <v>469</v>
      </c>
      <c r="C108" s="163">
        <f t="shared" si="1"/>
        <v>0</v>
      </c>
      <c r="D108" s="165"/>
      <c r="E108" s="163"/>
      <c r="F108" s="163"/>
    </row>
    <row r="109" spans="1:6" ht="39" customHeight="1" hidden="1">
      <c r="A109" s="110">
        <v>41053400</v>
      </c>
      <c r="B109" s="303" t="s">
        <v>470</v>
      </c>
      <c r="C109" s="163">
        <f t="shared" si="1"/>
        <v>0</v>
      </c>
      <c r="D109" s="165">
        <v>0</v>
      </c>
      <c r="E109" s="163"/>
      <c r="F109" s="108"/>
    </row>
    <row r="110" spans="1:6" ht="50.25" customHeight="1" hidden="1">
      <c r="A110" s="162">
        <v>41055000</v>
      </c>
      <c r="B110" s="169" t="s">
        <v>334</v>
      </c>
      <c r="C110" s="163">
        <f t="shared" si="1"/>
        <v>0</v>
      </c>
      <c r="D110" s="171">
        <v>0</v>
      </c>
      <c r="E110" s="163"/>
      <c r="F110" s="163">
        <v>0</v>
      </c>
    </row>
    <row r="111" spans="1:7" s="47" customFormat="1" ht="34.5" customHeight="1">
      <c r="A111" s="175"/>
      <c r="B111" s="24" t="s">
        <v>145</v>
      </c>
      <c r="C111" s="46">
        <f>D111+E111</f>
        <v>1336721126</v>
      </c>
      <c r="D111" s="25">
        <f>D96+D97</f>
        <v>1229179321</v>
      </c>
      <c r="E111" s="25">
        <f>E96+E97</f>
        <v>107541805</v>
      </c>
      <c r="F111" s="25">
        <f>F96+F97</f>
        <v>55000000</v>
      </c>
      <c r="G111" s="224"/>
    </row>
    <row r="115" spans="1:17" ht="15.75">
      <c r="A115" s="471" t="s">
        <v>569</v>
      </c>
      <c r="B115" s="471"/>
      <c r="C115" s="471"/>
      <c r="D115" s="471"/>
      <c r="E115" s="9" t="s">
        <v>570</v>
      </c>
      <c r="F115" s="223"/>
      <c r="G115" s="304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7" ht="15.75">
      <c r="E117" s="223"/>
    </row>
    <row r="118" ht="15.75">
      <c r="E118" s="17">
        <f>E111-F111</f>
        <v>52541805</v>
      </c>
    </row>
  </sheetData>
  <sheetProtection/>
  <mergeCells count="11">
    <mergeCell ref="C1:F1"/>
    <mergeCell ref="A3:F3"/>
    <mergeCell ref="A4:F4"/>
    <mergeCell ref="A5:F5"/>
    <mergeCell ref="A6:F6"/>
    <mergeCell ref="A8:A9"/>
    <mergeCell ref="A115:D115"/>
    <mergeCell ref="B8:B9"/>
    <mergeCell ref="C8:C9"/>
    <mergeCell ref="D8:D9"/>
    <mergeCell ref="E8:F8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SheetLayoutView="100" zoomScalePageLayoutView="0" workbookViewId="0" topLeftCell="A20">
      <selection activeCell="I33" sqref="I33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5"/>
      <c r="E1" s="15"/>
      <c r="F1" s="481" t="s">
        <v>564</v>
      </c>
      <c r="G1" s="481"/>
      <c r="H1" s="41"/>
    </row>
    <row r="2" spans="6:7" ht="15.75">
      <c r="F2" s="447"/>
      <c r="G2" s="93"/>
    </row>
    <row r="4" spans="3:7" ht="18.75">
      <c r="C4" s="482" t="s">
        <v>398</v>
      </c>
      <c r="D4" s="482"/>
      <c r="E4" s="482"/>
      <c r="F4" s="482"/>
      <c r="G4" s="482"/>
    </row>
    <row r="5" spans="3:7" ht="15.75">
      <c r="C5" s="91"/>
      <c r="D5" s="91"/>
      <c r="E5" s="91"/>
      <c r="F5" s="91"/>
      <c r="G5" s="91"/>
    </row>
    <row r="6" spans="3:7" ht="15.75">
      <c r="C6" s="484" t="s">
        <v>288</v>
      </c>
      <c r="D6" s="484"/>
      <c r="E6" s="91"/>
      <c r="F6" s="91"/>
      <c r="G6" s="91"/>
    </row>
    <row r="7" spans="3:4" ht="15.75">
      <c r="C7" s="92" t="s">
        <v>270</v>
      </c>
      <c r="D7" s="29"/>
    </row>
    <row r="8" spans="3:7" ht="15.75">
      <c r="C8" s="92"/>
      <c r="D8" s="29"/>
      <c r="G8" s="29" t="s">
        <v>69</v>
      </c>
    </row>
    <row r="9" spans="2:7" ht="18.75" customHeight="1">
      <c r="B9" s="483" t="s">
        <v>54</v>
      </c>
      <c r="C9" s="483" t="s">
        <v>285</v>
      </c>
      <c r="D9" s="483" t="s">
        <v>232</v>
      </c>
      <c r="E9" s="483" t="s">
        <v>55</v>
      </c>
      <c r="F9" s="483" t="s">
        <v>56</v>
      </c>
      <c r="G9" s="483"/>
    </row>
    <row r="10" spans="2:7" ht="38.25">
      <c r="B10" s="483"/>
      <c r="C10" s="483"/>
      <c r="D10" s="483"/>
      <c r="E10" s="483"/>
      <c r="F10" s="96" t="s">
        <v>232</v>
      </c>
      <c r="G10" s="95" t="s">
        <v>286</v>
      </c>
    </row>
    <row r="11" spans="2:7" s="2" customFormat="1" ht="15.75">
      <c r="B11" s="20">
        <v>1</v>
      </c>
      <c r="C11" s="20">
        <f>B11+1</f>
        <v>2</v>
      </c>
      <c r="D11" s="20">
        <f>C11+1</f>
        <v>3</v>
      </c>
      <c r="E11" s="20">
        <f>D11+1</f>
        <v>4</v>
      </c>
      <c r="F11" s="20">
        <f>E11+1</f>
        <v>5</v>
      </c>
      <c r="G11" s="20">
        <f>F11+1</f>
        <v>6</v>
      </c>
    </row>
    <row r="12" spans="2:7" ht="15.75">
      <c r="B12" s="187">
        <v>200000</v>
      </c>
      <c r="C12" s="185" t="s">
        <v>70</v>
      </c>
      <c r="D12" s="183">
        <f>D17+D13</f>
        <v>-68152024.9999</v>
      </c>
      <c r="E12" s="193">
        <f>E17+E13</f>
        <v>-199379230</v>
      </c>
      <c r="F12" s="193">
        <f>F17+F13</f>
        <v>131227205</v>
      </c>
      <c r="G12" s="193">
        <f>G17+G13</f>
        <v>131227205</v>
      </c>
    </row>
    <row r="13" spans="2:7" ht="31.5">
      <c r="B13" s="152">
        <v>202000</v>
      </c>
      <c r="C13" s="176" t="s">
        <v>324</v>
      </c>
      <c r="D13" s="183">
        <f>E13+F13</f>
        <v>-68152025</v>
      </c>
      <c r="E13" s="193">
        <f>E14</f>
        <v>0</v>
      </c>
      <c r="F13" s="193">
        <f>F14</f>
        <v>-68152025</v>
      </c>
      <c r="G13" s="193">
        <f>G14</f>
        <v>-68152025</v>
      </c>
    </row>
    <row r="14" spans="2:7" ht="31.5">
      <c r="B14" s="151">
        <v>202200</v>
      </c>
      <c r="C14" s="177" t="s">
        <v>325</v>
      </c>
      <c r="D14" s="183">
        <f>E14+F14</f>
        <v>-68152025</v>
      </c>
      <c r="E14" s="193"/>
      <c r="F14" s="193">
        <f>F15+F16</f>
        <v>-68152025</v>
      </c>
      <c r="G14" s="193">
        <f>G15+G16</f>
        <v>-68152025</v>
      </c>
    </row>
    <row r="15" spans="2:7" ht="15.75">
      <c r="B15" s="151">
        <v>202210</v>
      </c>
      <c r="C15" s="177" t="s">
        <v>326</v>
      </c>
      <c r="D15" s="183">
        <f>E15+F15</f>
        <v>17088325</v>
      </c>
      <c r="E15" s="193"/>
      <c r="F15" s="193">
        <f>G15</f>
        <v>17088325</v>
      </c>
      <c r="G15" s="193">
        <v>17088325</v>
      </c>
    </row>
    <row r="16" spans="2:7" ht="15.75">
      <c r="B16" s="151">
        <v>202220</v>
      </c>
      <c r="C16" s="177" t="s">
        <v>327</v>
      </c>
      <c r="D16" s="183">
        <f>E16+F16</f>
        <v>-85240350</v>
      </c>
      <c r="E16" s="193"/>
      <c r="F16" s="193">
        <f>G16</f>
        <v>-85240350</v>
      </c>
      <c r="G16" s="193">
        <v>-85240350</v>
      </c>
    </row>
    <row r="17" spans="2:7" ht="47.25">
      <c r="B17" s="187">
        <v>208000</v>
      </c>
      <c r="C17" s="185" t="s">
        <v>71</v>
      </c>
      <c r="D17" s="193">
        <f>D19+D18</f>
        <v>0.0001</v>
      </c>
      <c r="E17" s="193">
        <f>E19+E18</f>
        <v>-199379230</v>
      </c>
      <c r="F17" s="193">
        <f>F19+F18</f>
        <v>199379230</v>
      </c>
      <c r="G17" s="193">
        <f>G19+G18</f>
        <v>199379230</v>
      </c>
    </row>
    <row r="18" spans="2:7" ht="15.75" customHeight="1" hidden="1">
      <c r="B18" s="188">
        <v>208100</v>
      </c>
      <c r="C18" s="180" t="s">
        <v>72</v>
      </c>
      <c r="D18" s="181">
        <f>E18+F18</f>
        <v>0</v>
      </c>
      <c r="E18" s="184"/>
      <c r="F18" s="184"/>
      <c r="G18" s="184"/>
    </row>
    <row r="19" spans="2:10" ht="65.25" customHeight="1">
      <c r="B19" s="188">
        <v>208400</v>
      </c>
      <c r="C19" s="180" t="s">
        <v>73</v>
      </c>
      <c r="D19" s="181">
        <f>E19+F19+0.0001</f>
        <v>0.0001</v>
      </c>
      <c r="E19" s="182">
        <f>-('dod 1 '!D111-'dod 3'!E106)</f>
        <v>-199379230</v>
      </c>
      <c r="F19" s="182">
        <f>-E19</f>
        <v>199379230</v>
      </c>
      <c r="G19" s="182">
        <f>F19</f>
        <v>199379230</v>
      </c>
      <c r="J19" s="30"/>
    </row>
    <row r="20" spans="2:10" ht="36.75" customHeight="1">
      <c r="B20" s="152">
        <v>400000</v>
      </c>
      <c r="C20" s="178" t="s">
        <v>328</v>
      </c>
      <c r="D20" s="194">
        <f>D21+D24</f>
        <v>-68152025</v>
      </c>
      <c r="E20" s="194">
        <f>E21+E24</f>
        <v>0</v>
      </c>
      <c r="F20" s="194">
        <f>F21+F24</f>
        <v>-68152025</v>
      </c>
      <c r="G20" s="194">
        <f>G21+G24</f>
        <v>-68152025</v>
      </c>
      <c r="J20" s="30"/>
    </row>
    <row r="21" spans="2:10" ht="29.25" customHeight="1">
      <c r="B21" s="152">
        <v>401000</v>
      </c>
      <c r="C21" s="178" t="s">
        <v>329</v>
      </c>
      <c r="D21" s="194">
        <f>D22</f>
        <v>17088325</v>
      </c>
      <c r="E21" s="194">
        <f>E22</f>
        <v>0</v>
      </c>
      <c r="F21" s="194">
        <f>F22</f>
        <v>17088325</v>
      </c>
      <c r="G21" s="194">
        <f>G22</f>
        <v>17088325</v>
      </c>
      <c r="J21" s="30"/>
    </row>
    <row r="22" spans="2:10" ht="28.5" customHeight="1">
      <c r="B22" s="151">
        <v>401100</v>
      </c>
      <c r="C22" s="179" t="s">
        <v>330</v>
      </c>
      <c r="D22" s="195">
        <f>E22+F22</f>
        <v>17088325</v>
      </c>
      <c r="E22" s="196">
        <f>E23+E26</f>
        <v>0</v>
      </c>
      <c r="F22" s="196">
        <f>F23</f>
        <v>17088325</v>
      </c>
      <c r="G22" s="196">
        <f>G23</f>
        <v>17088325</v>
      </c>
      <c r="J22" s="30"/>
    </row>
    <row r="23" spans="2:10" ht="30.75" customHeight="1">
      <c r="B23" s="190">
        <v>401102</v>
      </c>
      <c r="C23" s="147" t="s">
        <v>331</v>
      </c>
      <c r="D23" s="195">
        <f>E23+F23</f>
        <v>17088325</v>
      </c>
      <c r="E23" s="197"/>
      <c r="F23" s="197">
        <f>F15</f>
        <v>17088325</v>
      </c>
      <c r="G23" s="197">
        <f>G15</f>
        <v>17088325</v>
      </c>
      <c r="J23" s="30"/>
    </row>
    <row r="24" spans="2:10" ht="30.75" customHeight="1">
      <c r="B24" s="187">
        <v>402000</v>
      </c>
      <c r="C24" s="186" t="s">
        <v>336</v>
      </c>
      <c r="D24" s="183">
        <f>E24+F24</f>
        <v>-85240350</v>
      </c>
      <c r="E24" s="193">
        <f aca="true" t="shared" si="0" ref="E24:G25">E25</f>
        <v>0</v>
      </c>
      <c r="F24" s="193">
        <f t="shared" si="0"/>
        <v>-85240350</v>
      </c>
      <c r="G24" s="193">
        <f t="shared" si="0"/>
        <v>-85240350</v>
      </c>
      <c r="J24" s="30"/>
    </row>
    <row r="25" spans="2:10" ht="30.75" customHeight="1">
      <c r="B25" s="188">
        <v>402100</v>
      </c>
      <c r="C25" s="97" t="s">
        <v>335</v>
      </c>
      <c r="D25" s="181">
        <f>E25+F25</f>
        <v>-85240350</v>
      </c>
      <c r="E25" s="184">
        <f t="shared" si="0"/>
        <v>0</v>
      </c>
      <c r="F25" s="184">
        <f t="shared" si="0"/>
        <v>-85240350</v>
      </c>
      <c r="G25" s="184">
        <f t="shared" si="0"/>
        <v>-85240350</v>
      </c>
      <c r="J25" s="30"/>
    </row>
    <row r="26" spans="2:10" ht="30.75" customHeight="1">
      <c r="B26" s="188">
        <v>402102</v>
      </c>
      <c r="C26" s="97" t="s">
        <v>331</v>
      </c>
      <c r="D26" s="181">
        <f>E26+F26</f>
        <v>-85240350</v>
      </c>
      <c r="E26" s="184"/>
      <c r="F26" s="184">
        <f>F16</f>
        <v>-85240350</v>
      </c>
      <c r="G26" s="184">
        <f>G16</f>
        <v>-85240350</v>
      </c>
      <c r="J26" s="30"/>
    </row>
    <row r="27" spans="2:7" s="4" customFormat="1" ht="31.5">
      <c r="B27" s="142">
        <v>600000</v>
      </c>
      <c r="C27" s="191" t="s">
        <v>74</v>
      </c>
      <c r="D27" s="183">
        <f>D28</f>
        <v>0.0001</v>
      </c>
      <c r="E27" s="183">
        <f>E28</f>
        <v>-199379230</v>
      </c>
      <c r="F27" s="183">
        <f>F28</f>
        <v>199379230</v>
      </c>
      <c r="G27" s="183">
        <f>G28</f>
        <v>199379230</v>
      </c>
    </row>
    <row r="28" spans="2:7" s="4" customFormat="1" ht="15.75">
      <c r="B28" s="142">
        <v>602000</v>
      </c>
      <c r="C28" s="192" t="s">
        <v>75</v>
      </c>
      <c r="D28" s="183">
        <f>D29+D30</f>
        <v>0.0001</v>
      </c>
      <c r="E28" s="183">
        <f>E29+E30</f>
        <v>-199379230</v>
      </c>
      <c r="F28" s="183">
        <f>F29+F30</f>
        <v>199379230</v>
      </c>
      <c r="G28" s="183">
        <f>G29+G30</f>
        <v>199379230</v>
      </c>
    </row>
    <row r="29" spans="2:7" ht="15.75" customHeight="1" hidden="1">
      <c r="B29" s="189">
        <v>602100</v>
      </c>
      <c r="C29" s="180" t="s">
        <v>72</v>
      </c>
      <c r="D29" s="181">
        <f>E29+F29</f>
        <v>0</v>
      </c>
      <c r="E29" s="184">
        <f aca="true" t="shared" si="1" ref="E29:G30">E18</f>
        <v>0</v>
      </c>
      <c r="F29" s="184">
        <f t="shared" si="1"/>
        <v>0</v>
      </c>
      <c r="G29" s="184">
        <f t="shared" si="1"/>
        <v>0</v>
      </c>
    </row>
    <row r="30" spans="2:7" ht="68.25" customHeight="1">
      <c r="B30" s="189">
        <v>602400</v>
      </c>
      <c r="C30" s="180" t="s">
        <v>73</v>
      </c>
      <c r="D30" s="181">
        <f>E30+F30+0.0001</f>
        <v>0.0001</v>
      </c>
      <c r="E30" s="181">
        <f t="shared" si="1"/>
        <v>-199379230</v>
      </c>
      <c r="F30" s="181">
        <f t="shared" si="1"/>
        <v>199379230</v>
      </c>
      <c r="G30" s="181">
        <f t="shared" si="1"/>
        <v>199379230</v>
      </c>
    </row>
    <row r="31" s="4" customFormat="1" ht="15.75"/>
    <row r="32" s="4" customFormat="1" ht="15.75" customHeight="1"/>
    <row r="33" s="4" customFormat="1" ht="17.25" customHeight="1"/>
    <row r="34" spans="2:6" ht="15.75">
      <c r="B34" s="471" t="s">
        <v>569</v>
      </c>
      <c r="C34" s="471"/>
      <c r="D34" s="471"/>
      <c r="E34" s="471"/>
      <c r="F34" s="9" t="s">
        <v>570</v>
      </c>
    </row>
  </sheetData>
  <sheetProtection/>
  <mergeCells count="9">
    <mergeCell ref="B34:E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view="pageBreakPreview" zoomScale="70" zoomScaleNormal="70" zoomScaleSheetLayoutView="70" workbookViewId="0" topLeftCell="A91">
      <selection activeCell="H109" sqref="H109"/>
    </sheetView>
  </sheetViews>
  <sheetFormatPr defaultColWidth="9.00390625" defaultRowHeight="12.75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2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2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7" width="16.375" style="3" customWidth="1"/>
    <col min="18" max="18" width="22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384"/>
      <c r="B1" s="384"/>
      <c r="C1" s="385"/>
      <c r="D1" s="386"/>
      <c r="E1" s="387"/>
      <c r="F1" s="385"/>
      <c r="G1" s="385"/>
      <c r="H1" s="385"/>
      <c r="I1" s="385"/>
      <c r="J1" s="387"/>
      <c r="K1" s="385"/>
      <c r="L1" s="490" t="s">
        <v>565</v>
      </c>
      <c r="M1" s="490"/>
      <c r="N1" s="490"/>
      <c r="O1" s="490"/>
      <c r="P1" s="490"/>
    </row>
    <row r="2" spans="1:16" ht="19.5" customHeight="1">
      <c r="A2" s="384"/>
      <c r="B2" s="384"/>
      <c r="C2" s="385"/>
      <c r="D2" s="386"/>
      <c r="E2" s="387"/>
      <c r="F2" s="385"/>
      <c r="G2" s="385"/>
      <c r="H2" s="385"/>
      <c r="I2" s="385"/>
      <c r="J2" s="387"/>
      <c r="K2" s="388"/>
      <c r="L2" s="493"/>
      <c r="M2" s="493"/>
      <c r="N2" s="493"/>
      <c r="O2" s="493"/>
      <c r="P2" s="493"/>
    </row>
    <row r="3" spans="1:16" ht="21.75" customHeight="1">
      <c r="A3" s="492" t="s">
        <v>269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24" customHeight="1">
      <c r="A4" s="491" t="s">
        <v>399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6" ht="24" customHeight="1">
      <c r="A5" s="143"/>
      <c r="B5" s="143"/>
      <c r="C5" s="143"/>
      <c r="D5" s="484" t="s">
        <v>288</v>
      </c>
      <c r="E5" s="484"/>
      <c r="F5" s="143"/>
      <c r="G5" s="143"/>
      <c r="H5" s="143"/>
      <c r="I5" s="143"/>
      <c r="J5" s="143"/>
      <c r="K5" s="252"/>
      <c r="L5" s="143"/>
      <c r="M5" s="143"/>
      <c r="N5" s="143"/>
      <c r="O5" s="143"/>
      <c r="P5" s="143"/>
    </row>
    <row r="6" spans="1:16" ht="15.75">
      <c r="A6" s="83"/>
      <c r="B6" s="83"/>
      <c r="C6" s="134"/>
      <c r="D6" s="92" t="s">
        <v>270</v>
      </c>
      <c r="E6" s="133"/>
      <c r="F6" s="134"/>
      <c r="G6" s="134"/>
      <c r="H6" s="134"/>
      <c r="I6" s="134"/>
      <c r="J6" s="133"/>
      <c r="K6" s="134"/>
      <c r="L6" s="134"/>
      <c r="M6" s="134"/>
      <c r="N6" s="134"/>
      <c r="O6" s="134"/>
      <c r="P6" s="101" t="s">
        <v>69</v>
      </c>
    </row>
    <row r="7" spans="1:16" ht="58.5" customHeight="1">
      <c r="A7" s="483" t="s">
        <v>281</v>
      </c>
      <c r="B7" s="483" t="s">
        <v>282</v>
      </c>
      <c r="C7" s="485" t="s">
        <v>283</v>
      </c>
      <c r="D7" s="487" t="s">
        <v>274</v>
      </c>
      <c r="E7" s="483" t="s">
        <v>55</v>
      </c>
      <c r="F7" s="483"/>
      <c r="G7" s="483"/>
      <c r="H7" s="483"/>
      <c r="I7" s="483"/>
      <c r="J7" s="483" t="s">
        <v>56</v>
      </c>
      <c r="K7" s="483"/>
      <c r="L7" s="483"/>
      <c r="M7" s="483"/>
      <c r="N7" s="483"/>
      <c r="O7" s="483"/>
      <c r="P7" s="483" t="s">
        <v>26</v>
      </c>
    </row>
    <row r="8" spans="1:16" ht="18.75" customHeight="1">
      <c r="A8" s="483"/>
      <c r="B8" s="483"/>
      <c r="C8" s="485"/>
      <c r="D8" s="488"/>
      <c r="E8" s="483" t="s">
        <v>233</v>
      </c>
      <c r="F8" s="486" t="s">
        <v>33</v>
      </c>
      <c r="G8" s="483" t="s">
        <v>284</v>
      </c>
      <c r="H8" s="483"/>
      <c r="I8" s="486" t="s">
        <v>34</v>
      </c>
      <c r="J8" s="483" t="s">
        <v>233</v>
      </c>
      <c r="K8" s="487" t="s">
        <v>236</v>
      </c>
      <c r="L8" s="486" t="s">
        <v>33</v>
      </c>
      <c r="M8" s="483" t="s">
        <v>284</v>
      </c>
      <c r="N8" s="483"/>
      <c r="O8" s="486" t="s">
        <v>34</v>
      </c>
      <c r="P8" s="483"/>
    </row>
    <row r="9" spans="1:16" ht="13.5" customHeight="1">
      <c r="A9" s="483"/>
      <c r="B9" s="483"/>
      <c r="C9" s="485"/>
      <c r="D9" s="488"/>
      <c r="E9" s="483"/>
      <c r="F9" s="486"/>
      <c r="G9" s="483" t="s">
        <v>27</v>
      </c>
      <c r="H9" s="483" t="s">
        <v>28</v>
      </c>
      <c r="I9" s="486"/>
      <c r="J9" s="483"/>
      <c r="K9" s="488"/>
      <c r="L9" s="486"/>
      <c r="M9" s="483" t="s">
        <v>27</v>
      </c>
      <c r="N9" s="483" t="s">
        <v>28</v>
      </c>
      <c r="O9" s="486"/>
      <c r="P9" s="483"/>
    </row>
    <row r="10" spans="1:18" ht="84.75" customHeight="1">
      <c r="A10" s="483"/>
      <c r="B10" s="483"/>
      <c r="C10" s="485"/>
      <c r="D10" s="489"/>
      <c r="E10" s="483"/>
      <c r="F10" s="486"/>
      <c r="G10" s="483"/>
      <c r="H10" s="483"/>
      <c r="I10" s="486"/>
      <c r="J10" s="483"/>
      <c r="K10" s="489"/>
      <c r="L10" s="486"/>
      <c r="M10" s="483"/>
      <c r="N10" s="483"/>
      <c r="O10" s="486"/>
      <c r="P10" s="483"/>
      <c r="R10" s="109"/>
    </row>
    <row r="11" spans="1:16" s="21" customFormat="1" ht="17.25" customHeight="1">
      <c r="A11" s="82">
        <v>1</v>
      </c>
      <c r="B11" s="82">
        <f>A11+1</f>
        <v>2</v>
      </c>
      <c r="C11" s="82">
        <f aca="true" t="shared" si="0" ref="C11:J11">B11+1</f>
        <v>3</v>
      </c>
      <c r="D11" s="82">
        <f t="shared" si="0"/>
        <v>4</v>
      </c>
      <c r="E11" s="82">
        <f t="shared" si="0"/>
        <v>5</v>
      </c>
      <c r="F11" s="82">
        <f t="shared" si="0"/>
        <v>6</v>
      </c>
      <c r="G11" s="82">
        <f t="shared" si="0"/>
        <v>7</v>
      </c>
      <c r="H11" s="82">
        <f t="shared" si="0"/>
        <v>8</v>
      </c>
      <c r="I11" s="82">
        <f t="shared" si="0"/>
        <v>9</v>
      </c>
      <c r="J11" s="82">
        <f t="shared" si="0"/>
        <v>10</v>
      </c>
      <c r="K11" s="82">
        <f>J11+1</f>
        <v>11</v>
      </c>
      <c r="L11" s="82">
        <v>12</v>
      </c>
      <c r="M11" s="82">
        <f>L11+1</f>
        <v>13</v>
      </c>
      <c r="N11" s="82">
        <f>M11+1</f>
        <v>14</v>
      </c>
      <c r="O11" s="82">
        <f>N11+1</f>
        <v>15</v>
      </c>
      <c r="P11" s="82">
        <v>16</v>
      </c>
    </row>
    <row r="12" spans="1:19" s="64" customFormat="1" ht="31.5">
      <c r="A12" s="129" t="s">
        <v>257</v>
      </c>
      <c r="B12" s="129" t="s">
        <v>258</v>
      </c>
      <c r="C12" s="130"/>
      <c r="D12" s="131" t="s">
        <v>255</v>
      </c>
      <c r="E12" s="132">
        <f>E13</f>
        <v>106702068</v>
      </c>
      <c r="F12" s="132">
        <f aca="true" t="shared" si="1" ref="F12:N12">F13</f>
        <v>106702068</v>
      </c>
      <c r="G12" s="132">
        <f t="shared" si="1"/>
        <v>47212778</v>
      </c>
      <c r="H12" s="132">
        <f t="shared" si="1"/>
        <v>3889530</v>
      </c>
      <c r="I12" s="132">
        <f t="shared" si="1"/>
        <v>0</v>
      </c>
      <c r="J12" s="132">
        <f>J13</f>
        <v>14026000</v>
      </c>
      <c r="K12" s="132">
        <f t="shared" si="1"/>
        <v>12475000</v>
      </c>
      <c r="L12" s="132">
        <f t="shared" si="1"/>
        <v>995400</v>
      </c>
      <c r="M12" s="132">
        <f t="shared" si="1"/>
        <v>0</v>
      </c>
      <c r="N12" s="132">
        <f t="shared" si="1"/>
        <v>20500</v>
      </c>
      <c r="O12" s="132">
        <f>O13</f>
        <v>13030600</v>
      </c>
      <c r="P12" s="132">
        <f>E12+J12</f>
        <v>120728068</v>
      </c>
      <c r="Q12" s="225">
        <f>O12-K12</f>
        <v>555600</v>
      </c>
      <c r="R12" s="228"/>
      <c r="S12" s="109"/>
    </row>
    <row r="13" spans="1:19" s="64" customFormat="1" ht="31.5">
      <c r="A13" s="129" t="s">
        <v>260</v>
      </c>
      <c r="B13" s="129"/>
      <c r="C13" s="130"/>
      <c r="D13" s="131" t="s">
        <v>256</v>
      </c>
      <c r="E13" s="132">
        <f>SUM(E14:E27)</f>
        <v>106702068</v>
      </c>
      <c r="F13" s="132">
        <f>SUM(F14:F27)</f>
        <v>106702068</v>
      </c>
      <c r="G13" s="132">
        <f>SUM(G14:G27)</f>
        <v>47212778</v>
      </c>
      <c r="H13" s="132">
        <f aca="true" t="shared" si="2" ref="H13:P13">SUM(H14:H27)</f>
        <v>3889530</v>
      </c>
      <c r="I13" s="132">
        <f t="shared" si="2"/>
        <v>0</v>
      </c>
      <c r="J13" s="132">
        <f t="shared" si="2"/>
        <v>14026000</v>
      </c>
      <c r="K13" s="132">
        <f t="shared" si="2"/>
        <v>12475000</v>
      </c>
      <c r="L13" s="132">
        <f t="shared" si="2"/>
        <v>995400</v>
      </c>
      <c r="M13" s="132">
        <f t="shared" si="2"/>
        <v>0</v>
      </c>
      <c r="N13" s="132">
        <f t="shared" si="2"/>
        <v>20500</v>
      </c>
      <c r="O13" s="132">
        <f t="shared" si="2"/>
        <v>13030600</v>
      </c>
      <c r="P13" s="132">
        <f t="shared" si="2"/>
        <v>120728068</v>
      </c>
      <c r="Q13" s="225">
        <f aca="true" t="shared" si="3" ref="Q13:Q76">O13-K13</f>
        <v>555600</v>
      </c>
      <c r="R13" s="228"/>
      <c r="S13" s="109"/>
    </row>
    <row r="14" spans="1:19" s="104" customFormat="1" ht="38.25" customHeight="1">
      <c r="A14" s="280" t="s">
        <v>259</v>
      </c>
      <c r="B14" s="280" t="s">
        <v>156</v>
      </c>
      <c r="C14" s="249" t="s">
        <v>35</v>
      </c>
      <c r="D14" s="169" t="s">
        <v>426</v>
      </c>
      <c r="E14" s="127">
        <f aca="true" t="shared" si="4" ref="E14:E19">F14+I14</f>
        <v>68896000</v>
      </c>
      <c r="F14" s="127">
        <v>68896000</v>
      </c>
      <c r="G14" s="127">
        <v>47138926</v>
      </c>
      <c r="H14" s="127">
        <v>3889530</v>
      </c>
      <c r="I14" s="127"/>
      <c r="J14" s="127">
        <f>L14+O14</f>
        <v>2750000</v>
      </c>
      <c r="K14" s="127">
        <v>1800000</v>
      </c>
      <c r="L14" s="127">
        <v>950000</v>
      </c>
      <c r="M14" s="127"/>
      <c r="N14" s="127">
        <v>20500</v>
      </c>
      <c r="O14" s="127">
        <v>1800000</v>
      </c>
      <c r="P14" s="127">
        <f>E14+J14</f>
        <v>71646000</v>
      </c>
      <c r="Q14" s="225">
        <f t="shared" si="3"/>
        <v>0</v>
      </c>
      <c r="R14" s="228"/>
      <c r="S14" s="109"/>
    </row>
    <row r="15" spans="1:19" s="63" customFormat="1" ht="33" customHeight="1">
      <c r="A15" s="280" t="s">
        <v>261</v>
      </c>
      <c r="B15" s="280" t="s">
        <v>51</v>
      </c>
      <c r="C15" s="249" t="s">
        <v>42</v>
      </c>
      <c r="D15" s="237" t="s">
        <v>165</v>
      </c>
      <c r="E15" s="127">
        <f t="shared" si="4"/>
        <v>1847000</v>
      </c>
      <c r="F15" s="127">
        <v>1847000</v>
      </c>
      <c r="G15" s="127"/>
      <c r="H15" s="127"/>
      <c r="I15" s="127"/>
      <c r="J15" s="127">
        <f aca="true" t="shared" si="5" ref="J15:J27">L15+O15</f>
        <v>0</v>
      </c>
      <c r="K15" s="127"/>
      <c r="L15" s="127"/>
      <c r="M15" s="127"/>
      <c r="N15" s="127"/>
      <c r="O15" s="127"/>
      <c r="P15" s="127">
        <f aca="true" t="shared" si="6" ref="P15:P58">E15+J15</f>
        <v>1847000</v>
      </c>
      <c r="Q15" s="225">
        <f t="shared" si="3"/>
        <v>0</v>
      </c>
      <c r="R15" s="228"/>
      <c r="S15" s="109"/>
    </row>
    <row r="16" spans="1:19" s="63" customFormat="1" ht="30.75" customHeight="1">
      <c r="A16" s="244" t="s">
        <v>311</v>
      </c>
      <c r="B16" s="244" t="s">
        <v>62</v>
      </c>
      <c r="C16" s="241" t="s">
        <v>49</v>
      </c>
      <c r="D16" s="237" t="s">
        <v>557</v>
      </c>
      <c r="E16" s="106">
        <f t="shared" si="4"/>
        <v>16656448</v>
      </c>
      <c r="F16" s="106">
        <f>16958448-302000</f>
        <v>16656448</v>
      </c>
      <c r="G16" s="106"/>
      <c r="H16" s="106"/>
      <c r="I16" s="106"/>
      <c r="J16" s="106">
        <f t="shared" si="5"/>
        <v>0</v>
      </c>
      <c r="K16" s="106"/>
      <c r="L16" s="106"/>
      <c r="M16" s="106"/>
      <c r="N16" s="106"/>
      <c r="O16" s="106"/>
      <c r="P16" s="127">
        <f t="shared" si="6"/>
        <v>16656448</v>
      </c>
      <c r="Q16" s="225">
        <f t="shared" si="3"/>
        <v>0</v>
      </c>
      <c r="R16" s="228"/>
      <c r="S16" s="109"/>
    </row>
    <row r="17" spans="1:19" s="63" customFormat="1" ht="30.75" customHeight="1">
      <c r="A17" s="244" t="s">
        <v>312</v>
      </c>
      <c r="B17" s="244" t="s">
        <v>180</v>
      </c>
      <c r="C17" s="241" t="s">
        <v>243</v>
      </c>
      <c r="D17" s="111" t="s">
        <v>207</v>
      </c>
      <c r="E17" s="106">
        <f t="shared" si="4"/>
        <v>2991489</v>
      </c>
      <c r="F17" s="106">
        <v>2991489</v>
      </c>
      <c r="G17" s="106"/>
      <c r="H17" s="106"/>
      <c r="I17" s="106"/>
      <c r="J17" s="106">
        <f t="shared" si="5"/>
        <v>0</v>
      </c>
      <c r="K17" s="106"/>
      <c r="L17" s="106"/>
      <c r="M17" s="106"/>
      <c r="N17" s="106"/>
      <c r="O17" s="106"/>
      <c r="P17" s="127">
        <f t="shared" si="6"/>
        <v>2991489</v>
      </c>
      <c r="Q17" s="225">
        <f t="shared" si="3"/>
        <v>0</v>
      </c>
      <c r="R17" s="228"/>
      <c r="S17" s="109"/>
    </row>
    <row r="18" spans="1:19" s="63" customFormat="1" ht="41.25" customHeight="1">
      <c r="A18" s="250" t="s">
        <v>309</v>
      </c>
      <c r="B18" s="250" t="s">
        <v>208</v>
      </c>
      <c r="C18" s="246" t="s">
        <v>50</v>
      </c>
      <c r="D18" s="169" t="s">
        <v>209</v>
      </c>
      <c r="E18" s="106">
        <f t="shared" si="4"/>
        <v>1000000</v>
      </c>
      <c r="F18" s="106">
        <v>1000000</v>
      </c>
      <c r="G18" s="106"/>
      <c r="H18" s="106"/>
      <c r="I18" s="106"/>
      <c r="J18" s="106">
        <f t="shared" si="5"/>
        <v>0</v>
      </c>
      <c r="K18" s="106"/>
      <c r="L18" s="106"/>
      <c r="M18" s="106"/>
      <c r="N18" s="106"/>
      <c r="O18" s="106"/>
      <c r="P18" s="127">
        <f t="shared" si="6"/>
        <v>1000000</v>
      </c>
      <c r="Q18" s="225">
        <f t="shared" si="3"/>
        <v>0</v>
      </c>
      <c r="R18" s="228"/>
      <c r="S18" s="109"/>
    </row>
    <row r="19" spans="1:19" s="63" customFormat="1" ht="21" customHeight="1">
      <c r="A19" s="250" t="s">
        <v>310</v>
      </c>
      <c r="B19" s="250" t="s">
        <v>15</v>
      </c>
      <c r="C19" s="246" t="s">
        <v>50</v>
      </c>
      <c r="D19" s="251" t="s">
        <v>14</v>
      </c>
      <c r="E19" s="106">
        <f t="shared" si="4"/>
        <v>10861875</v>
      </c>
      <c r="F19" s="106">
        <f>9400000+1461875</f>
        <v>10861875</v>
      </c>
      <c r="G19" s="106"/>
      <c r="H19" s="106"/>
      <c r="I19" s="106"/>
      <c r="J19" s="127">
        <f>L19+O19</f>
        <v>10550000</v>
      </c>
      <c r="K19" s="106">
        <v>10550000</v>
      </c>
      <c r="L19" s="106"/>
      <c r="M19" s="106"/>
      <c r="N19" s="106"/>
      <c r="O19" s="106">
        <v>10550000</v>
      </c>
      <c r="P19" s="127">
        <f t="shared" si="6"/>
        <v>21411875</v>
      </c>
      <c r="Q19" s="225">
        <f t="shared" si="3"/>
        <v>0</v>
      </c>
      <c r="R19" s="228"/>
      <c r="S19" s="109"/>
    </row>
    <row r="20" spans="1:19" s="265" customFormat="1" ht="15.75">
      <c r="A20" s="262" t="s">
        <v>262</v>
      </c>
      <c r="B20" s="262" t="s">
        <v>58</v>
      </c>
      <c r="C20" s="263" t="s">
        <v>36</v>
      </c>
      <c r="D20" s="379" t="s">
        <v>30</v>
      </c>
      <c r="E20" s="264">
        <f aca="true" t="shared" si="7" ref="E20:E28">F20+I20</f>
        <v>400000</v>
      </c>
      <c r="F20" s="264">
        <v>400000</v>
      </c>
      <c r="G20" s="264"/>
      <c r="H20" s="264"/>
      <c r="I20" s="264"/>
      <c r="J20" s="264">
        <f>L20+O20</f>
        <v>100000</v>
      </c>
      <c r="K20" s="264">
        <v>100000</v>
      </c>
      <c r="L20" s="264"/>
      <c r="M20" s="264"/>
      <c r="N20" s="264"/>
      <c r="O20" s="264">
        <v>100000</v>
      </c>
      <c r="P20" s="264">
        <f t="shared" si="6"/>
        <v>500000</v>
      </c>
      <c r="Q20" s="225">
        <f t="shared" si="3"/>
        <v>0</v>
      </c>
      <c r="R20" s="228"/>
      <c r="S20" s="266"/>
    </row>
    <row r="21" spans="1:19" s="265" customFormat="1" ht="18.75" customHeight="1">
      <c r="A21" s="262" t="s">
        <v>263</v>
      </c>
      <c r="B21" s="262" t="s">
        <v>7</v>
      </c>
      <c r="C21" s="263" t="s">
        <v>24</v>
      </c>
      <c r="D21" s="380" t="s">
        <v>25</v>
      </c>
      <c r="E21" s="264">
        <f>F21+I21</f>
        <v>90100</v>
      </c>
      <c r="F21" s="264">
        <v>90100</v>
      </c>
      <c r="G21" s="264">
        <v>73852</v>
      </c>
      <c r="H21" s="264"/>
      <c r="I21" s="264"/>
      <c r="J21" s="264">
        <f t="shared" si="5"/>
        <v>0</v>
      </c>
      <c r="K21" s="264"/>
      <c r="L21" s="264"/>
      <c r="M21" s="264"/>
      <c r="N21" s="264"/>
      <c r="O21" s="264"/>
      <c r="P21" s="264">
        <f t="shared" si="6"/>
        <v>90100</v>
      </c>
      <c r="Q21" s="225">
        <f t="shared" si="3"/>
        <v>0</v>
      </c>
      <c r="R21" s="228"/>
      <c r="S21" s="266"/>
    </row>
    <row r="22" spans="1:19" s="265" customFormat="1" ht="37.5" customHeight="1">
      <c r="A22" s="262" t="s">
        <v>264</v>
      </c>
      <c r="B22" s="262" t="s">
        <v>8</v>
      </c>
      <c r="C22" s="263" t="s">
        <v>166</v>
      </c>
      <c r="D22" s="381" t="s">
        <v>9</v>
      </c>
      <c r="E22" s="264">
        <f t="shared" si="7"/>
        <v>1848000</v>
      </c>
      <c r="F22" s="264">
        <v>1848000</v>
      </c>
      <c r="G22" s="264"/>
      <c r="H22" s="264"/>
      <c r="I22" s="264"/>
      <c r="J22" s="264">
        <f t="shared" si="5"/>
        <v>0</v>
      </c>
      <c r="K22" s="264"/>
      <c r="L22" s="264"/>
      <c r="M22" s="264"/>
      <c r="N22" s="264"/>
      <c r="O22" s="264"/>
      <c r="P22" s="264">
        <f t="shared" si="6"/>
        <v>1848000</v>
      </c>
      <c r="Q22" s="225">
        <f t="shared" si="3"/>
        <v>0</v>
      </c>
      <c r="R22" s="228"/>
      <c r="S22" s="266"/>
    </row>
    <row r="23" spans="1:19" s="63" customFormat="1" ht="22.5" customHeight="1">
      <c r="A23" s="280" t="s">
        <v>406</v>
      </c>
      <c r="B23" s="280" t="s">
        <v>407</v>
      </c>
      <c r="C23" s="281" t="s">
        <v>68</v>
      </c>
      <c r="D23" s="363" t="s">
        <v>408</v>
      </c>
      <c r="E23" s="127">
        <f>F23+I23</f>
        <v>1060000</v>
      </c>
      <c r="F23" s="127">
        <v>1060000</v>
      </c>
      <c r="G23" s="127"/>
      <c r="H23" s="127"/>
      <c r="I23" s="127"/>
      <c r="J23" s="127">
        <v>25000</v>
      </c>
      <c r="K23" s="127">
        <v>25000</v>
      </c>
      <c r="L23" s="127"/>
      <c r="M23" s="127"/>
      <c r="N23" s="127"/>
      <c r="O23" s="127">
        <v>25000</v>
      </c>
      <c r="P23" s="127">
        <f t="shared" si="6"/>
        <v>1085000</v>
      </c>
      <c r="Q23" s="225">
        <f t="shared" si="3"/>
        <v>0</v>
      </c>
      <c r="R23" s="228"/>
      <c r="S23" s="109"/>
    </row>
    <row r="24" spans="1:19" s="265" customFormat="1" ht="22.5" customHeight="1">
      <c r="A24" s="262" t="s">
        <v>410</v>
      </c>
      <c r="B24" s="262" t="s">
        <v>411</v>
      </c>
      <c r="C24" s="267" t="s">
        <v>48</v>
      </c>
      <c r="D24" s="379" t="s">
        <v>412</v>
      </c>
      <c r="E24" s="264">
        <f t="shared" si="7"/>
        <v>173856</v>
      </c>
      <c r="F24" s="264">
        <v>173856</v>
      </c>
      <c r="G24" s="264"/>
      <c r="H24" s="264" t="s">
        <v>450</v>
      </c>
      <c r="I24" s="264"/>
      <c r="J24" s="264"/>
      <c r="K24" s="264"/>
      <c r="L24" s="264"/>
      <c r="M24" s="264"/>
      <c r="N24" s="264"/>
      <c r="O24" s="264"/>
      <c r="P24" s="264">
        <f t="shared" si="6"/>
        <v>173856</v>
      </c>
      <c r="Q24" s="225">
        <f t="shared" si="3"/>
        <v>0</v>
      </c>
      <c r="R24" s="228"/>
      <c r="S24" s="266"/>
    </row>
    <row r="25" spans="1:19" s="265" customFormat="1" ht="93" customHeight="1">
      <c r="A25" s="262" t="s">
        <v>267</v>
      </c>
      <c r="B25" s="262" t="s">
        <v>10</v>
      </c>
      <c r="C25" s="263" t="s">
        <v>48</v>
      </c>
      <c r="D25" s="382" t="s">
        <v>238</v>
      </c>
      <c r="E25" s="264">
        <f t="shared" si="7"/>
        <v>0</v>
      </c>
      <c r="F25" s="264"/>
      <c r="G25" s="264"/>
      <c r="H25" s="264"/>
      <c r="I25" s="264"/>
      <c r="J25" s="264">
        <f t="shared" si="5"/>
        <v>601000</v>
      </c>
      <c r="K25" s="264"/>
      <c r="L25" s="264">
        <v>45400</v>
      </c>
      <c r="M25" s="264"/>
      <c r="N25" s="264"/>
      <c r="O25" s="264">
        <v>555600</v>
      </c>
      <c r="P25" s="264">
        <f t="shared" si="6"/>
        <v>601000</v>
      </c>
      <c r="Q25" s="225">
        <f t="shared" si="3"/>
        <v>555600</v>
      </c>
      <c r="R25" s="228"/>
      <c r="S25" s="266"/>
    </row>
    <row r="26" spans="1:19" s="63" customFormat="1" ht="20.25" customHeight="1">
      <c r="A26" s="280" t="s">
        <v>265</v>
      </c>
      <c r="B26" s="280" t="s">
        <v>196</v>
      </c>
      <c r="C26" s="249" t="s">
        <v>48</v>
      </c>
      <c r="D26" s="236" t="s">
        <v>197</v>
      </c>
      <c r="E26" s="127">
        <f>F26+I26</f>
        <v>635000</v>
      </c>
      <c r="F26" s="127">
        <v>635000</v>
      </c>
      <c r="G26" s="127"/>
      <c r="H26" s="127"/>
      <c r="I26" s="127"/>
      <c r="J26" s="127">
        <f t="shared" si="5"/>
        <v>0</v>
      </c>
      <c r="K26" s="127"/>
      <c r="L26" s="127"/>
      <c r="M26" s="127"/>
      <c r="N26" s="127"/>
      <c r="O26" s="127"/>
      <c r="P26" s="127">
        <f t="shared" si="6"/>
        <v>635000</v>
      </c>
      <c r="Q26" s="225">
        <f t="shared" si="3"/>
        <v>0</v>
      </c>
      <c r="R26" s="228"/>
      <c r="S26" s="109"/>
    </row>
    <row r="27" spans="1:19" s="265" customFormat="1" ht="33.75" customHeight="1">
      <c r="A27" s="262" t="s">
        <v>266</v>
      </c>
      <c r="B27" s="262" t="s">
        <v>167</v>
      </c>
      <c r="C27" s="267" t="s">
        <v>168</v>
      </c>
      <c r="D27" s="383" t="s">
        <v>11</v>
      </c>
      <c r="E27" s="268">
        <f t="shared" si="7"/>
        <v>242300</v>
      </c>
      <c r="F27" s="268">
        <v>242300</v>
      </c>
      <c r="G27" s="268"/>
      <c r="H27" s="268"/>
      <c r="I27" s="268"/>
      <c r="J27" s="268">
        <f t="shared" si="5"/>
        <v>0</v>
      </c>
      <c r="K27" s="268"/>
      <c r="L27" s="268"/>
      <c r="M27" s="268"/>
      <c r="N27" s="268"/>
      <c r="O27" s="268"/>
      <c r="P27" s="268">
        <f t="shared" si="6"/>
        <v>242300</v>
      </c>
      <c r="Q27" s="225">
        <f t="shared" si="3"/>
        <v>0</v>
      </c>
      <c r="R27" s="228"/>
      <c r="S27" s="266"/>
    </row>
    <row r="28" spans="1:19" s="153" customFormat="1" ht="38.25" customHeight="1">
      <c r="A28" s="129" t="s">
        <v>177</v>
      </c>
      <c r="B28" s="129" t="s">
        <v>178</v>
      </c>
      <c r="C28" s="126"/>
      <c r="D28" s="125" t="s">
        <v>396</v>
      </c>
      <c r="E28" s="124">
        <f t="shared" si="7"/>
        <v>712758429</v>
      </c>
      <c r="F28" s="123">
        <f aca="true" t="shared" si="8" ref="F28:O28">F29</f>
        <v>712758429</v>
      </c>
      <c r="G28" s="123">
        <f t="shared" si="8"/>
        <v>485511115</v>
      </c>
      <c r="H28" s="123">
        <f t="shared" si="8"/>
        <v>53444789</v>
      </c>
      <c r="I28" s="123">
        <f t="shared" si="8"/>
        <v>0</v>
      </c>
      <c r="J28" s="123">
        <f t="shared" si="8"/>
        <v>49638154</v>
      </c>
      <c r="K28" s="123">
        <f t="shared" si="8"/>
        <v>700068</v>
      </c>
      <c r="L28" s="123">
        <f t="shared" si="8"/>
        <v>47811486</v>
      </c>
      <c r="M28" s="123">
        <f t="shared" si="8"/>
        <v>9142787</v>
      </c>
      <c r="N28" s="123">
        <f t="shared" si="8"/>
        <v>2441697</v>
      </c>
      <c r="O28" s="123">
        <f t="shared" si="8"/>
        <v>1826668</v>
      </c>
      <c r="P28" s="132">
        <f t="shared" si="6"/>
        <v>762396583</v>
      </c>
      <c r="Q28" s="225">
        <f t="shared" si="3"/>
        <v>1126600</v>
      </c>
      <c r="R28" s="228">
        <f>J28-K28</f>
        <v>48938086</v>
      </c>
      <c r="S28" s="223"/>
    </row>
    <row r="29" spans="1:19" s="153" customFormat="1" ht="38.25" customHeight="1">
      <c r="A29" s="129" t="s">
        <v>179</v>
      </c>
      <c r="B29" s="129"/>
      <c r="C29" s="126"/>
      <c r="D29" s="125" t="s">
        <v>397</v>
      </c>
      <c r="E29" s="124">
        <f>F29+I29</f>
        <v>712758429</v>
      </c>
      <c r="F29" s="123">
        <f>SUM(F31:F54)-F35</f>
        <v>712758429</v>
      </c>
      <c r="G29" s="123">
        <f>SUM(G31:G54)-G35</f>
        <v>485511115</v>
      </c>
      <c r="H29" s="123">
        <f>SUM(H31:H54)-H35</f>
        <v>53444789</v>
      </c>
      <c r="I29" s="123">
        <f>SUM(I31:I54)-I35</f>
        <v>0</v>
      </c>
      <c r="J29" s="123">
        <f>L29+O29</f>
        <v>49638154</v>
      </c>
      <c r="K29" s="123">
        <f>SUM(K31:K54)-K35</f>
        <v>700068</v>
      </c>
      <c r="L29" s="123">
        <f>SUM(L31:L54)-L35</f>
        <v>47811486</v>
      </c>
      <c r="M29" s="123">
        <f>SUM(M31:M54)-M35</f>
        <v>9142787</v>
      </c>
      <c r="N29" s="123">
        <f>SUM(N31:N54)-N35</f>
        <v>2441697</v>
      </c>
      <c r="O29" s="123">
        <f>SUM(O31:O54)-O35</f>
        <v>1826668</v>
      </c>
      <c r="P29" s="132">
        <f t="shared" si="6"/>
        <v>762396583</v>
      </c>
      <c r="Q29" s="225">
        <f t="shared" si="3"/>
        <v>1126600</v>
      </c>
      <c r="R29" s="228"/>
      <c r="S29" s="223"/>
    </row>
    <row r="30" spans="1:19" s="65" customFormat="1" ht="15.75">
      <c r="A30" s="121"/>
      <c r="B30" s="121"/>
      <c r="C30" s="120"/>
      <c r="D30" s="119" t="s">
        <v>57</v>
      </c>
      <c r="E30" s="118">
        <f>F30+I30</f>
        <v>297301200</v>
      </c>
      <c r="F30" s="117">
        <f>F34+F41+F43</f>
        <v>297301200</v>
      </c>
      <c r="G30" s="117">
        <f aca="true" t="shared" si="9" ref="G30:O30">G34+G41+G43</f>
        <v>241859294</v>
      </c>
      <c r="H30" s="117">
        <f t="shared" si="9"/>
        <v>0</v>
      </c>
      <c r="I30" s="117">
        <f t="shared" si="9"/>
        <v>0</v>
      </c>
      <c r="J30" s="117">
        <f>L30+O30</f>
        <v>0</v>
      </c>
      <c r="K30" s="117">
        <f t="shared" si="9"/>
        <v>0</v>
      </c>
      <c r="L30" s="117">
        <f t="shared" si="9"/>
        <v>0</v>
      </c>
      <c r="M30" s="117">
        <f t="shared" si="9"/>
        <v>0</v>
      </c>
      <c r="N30" s="117">
        <f t="shared" si="9"/>
        <v>0</v>
      </c>
      <c r="O30" s="117">
        <f t="shared" si="9"/>
        <v>0</v>
      </c>
      <c r="P30" s="116">
        <f t="shared" si="6"/>
        <v>297301200</v>
      </c>
      <c r="Q30" s="225">
        <f t="shared" si="3"/>
        <v>0</v>
      </c>
      <c r="R30" s="228"/>
      <c r="S30" s="223"/>
    </row>
    <row r="31" spans="1:19" s="153" customFormat="1" ht="52.5" customHeight="1">
      <c r="A31" s="274" t="s">
        <v>296</v>
      </c>
      <c r="B31" s="274" t="s">
        <v>156</v>
      </c>
      <c r="C31" s="249" t="s">
        <v>35</v>
      </c>
      <c r="D31" s="169" t="s">
        <v>379</v>
      </c>
      <c r="E31" s="106">
        <f>F31+I31</f>
        <v>5011917</v>
      </c>
      <c r="F31" s="122">
        <v>5011917</v>
      </c>
      <c r="G31" s="122">
        <v>3952328</v>
      </c>
      <c r="H31" s="122">
        <v>48258</v>
      </c>
      <c r="I31" s="123"/>
      <c r="J31" s="127">
        <f>L31+O31</f>
        <v>0</v>
      </c>
      <c r="K31" s="123"/>
      <c r="L31" s="123"/>
      <c r="M31" s="123"/>
      <c r="N31" s="123"/>
      <c r="O31" s="123"/>
      <c r="P31" s="127">
        <f>E31+J31</f>
        <v>5011917</v>
      </c>
      <c r="Q31" s="225">
        <f t="shared" si="3"/>
        <v>0</v>
      </c>
      <c r="R31" s="228"/>
      <c r="S31" s="223"/>
    </row>
    <row r="32" spans="1:19" s="154" customFormat="1" ht="20.25" customHeight="1">
      <c r="A32" s="274" t="s">
        <v>556</v>
      </c>
      <c r="B32" s="274" t="s">
        <v>39</v>
      </c>
      <c r="C32" s="234" t="s">
        <v>247</v>
      </c>
      <c r="D32" s="275" t="s">
        <v>384</v>
      </c>
      <c r="E32" s="106">
        <f aca="true" t="shared" si="10" ref="E32:E54">F32+I32</f>
        <v>200431458</v>
      </c>
      <c r="F32" s="106">
        <f>200631458-200000</f>
        <v>200431458</v>
      </c>
      <c r="G32" s="106">
        <v>127407383</v>
      </c>
      <c r="H32" s="106">
        <f>23031373+250000</f>
        <v>23281373</v>
      </c>
      <c r="I32" s="106"/>
      <c r="J32" s="127">
        <f aca="true" t="shared" si="11" ref="J32:J41">L32+O32</f>
        <v>31500513</v>
      </c>
      <c r="K32" s="127">
        <v>200000</v>
      </c>
      <c r="L32" s="106">
        <v>31300513</v>
      </c>
      <c r="M32" s="106">
        <v>499101</v>
      </c>
      <c r="N32" s="106">
        <f>23774+23134+49768+36583</f>
        <v>133259</v>
      </c>
      <c r="O32" s="127">
        <v>200000</v>
      </c>
      <c r="P32" s="127">
        <f>E32+J32</f>
        <v>231931971</v>
      </c>
      <c r="Q32" s="225">
        <f t="shared" si="3"/>
        <v>0</v>
      </c>
      <c r="R32" s="228"/>
      <c r="S32" s="223"/>
    </row>
    <row r="33" spans="1:19" s="154" customFormat="1" ht="34.5" customHeight="1">
      <c r="A33" s="274" t="s">
        <v>364</v>
      </c>
      <c r="B33" s="274" t="s">
        <v>365</v>
      </c>
      <c r="C33" s="234" t="s">
        <v>246</v>
      </c>
      <c r="D33" s="275" t="s">
        <v>366</v>
      </c>
      <c r="E33" s="106">
        <f t="shared" si="10"/>
        <v>99109383</v>
      </c>
      <c r="F33" s="106">
        <f>99309451-200068</f>
        <v>99109383</v>
      </c>
      <c r="G33" s="106">
        <v>45542830</v>
      </c>
      <c r="H33" s="106">
        <f>23065526+250000</f>
        <v>23315526</v>
      </c>
      <c r="I33" s="106"/>
      <c r="J33" s="127">
        <f t="shared" si="11"/>
        <v>1222163</v>
      </c>
      <c r="K33" s="106">
        <v>200068</v>
      </c>
      <c r="L33" s="106">
        <v>1022095</v>
      </c>
      <c r="M33" s="106">
        <v>93116</v>
      </c>
      <c r="N33" s="106">
        <f>14461+57835+115669</f>
        <v>187965</v>
      </c>
      <c r="O33" s="106">
        <v>200068</v>
      </c>
      <c r="P33" s="127">
        <f t="shared" si="6"/>
        <v>100331546</v>
      </c>
      <c r="Q33" s="225">
        <f t="shared" si="3"/>
        <v>0</v>
      </c>
      <c r="R33" s="228"/>
      <c r="S33" s="223"/>
    </row>
    <row r="34" spans="1:19" s="154" customFormat="1" ht="33.75" customHeight="1">
      <c r="A34" s="274" t="s">
        <v>378</v>
      </c>
      <c r="B34" s="274" t="s">
        <v>377</v>
      </c>
      <c r="C34" s="234" t="s">
        <v>246</v>
      </c>
      <c r="D34" s="276" t="s">
        <v>385</v>
      </c>
      <c r="E34" s="106">
        <f>F34+I34</f>
        <v>292942300</v>
      </c>
      <c r="F34" s="106">
        <f>291370800+1571500</f>
        <v>292942300</v>
      </c>
      <c r="G34" s="106">
        <v>238828562</v>
      </c>
      <c r="H34" s="106"/>
      <c r="I34" s="106"/>
      <c r="J34" s="127">
        <f t="shared" si="11"/>
        <v>0</v>
      </c>
      <c r="K34" s="127"/>
      <c r="L34" s="106"/>
      <c r="M34" s="106"/>
      <c r="N34" s="106"/>
      <c r="O34" s="127"/>
      <c r="P34" s="127">
        <f t="shared" si="6"/>
        <v>292942300</v>
      </c>
      <c r="Q34" s="225">
        <f t="shared" si="3"/>
        <v>0</v>
      </c>
      <c r="R34" s="228"/>
      <c r="S34" s="223"/>
    </row>
    <row r="35" spans="1:19" s="68" customFormat="1" ht="67.5" customHeight="1">
      <c r="A35" s="231"/>
      <c r="B35" s="231"/>
      <c r="C35" s="232"/>
      <c r="D35" s="283" t="s">
        <v>297</v>
      </c>
      <c r="E35" s="107">
        <f t="shared" si="10"/>
        <v>1571500</v>
      </c>
      <c r="F35" s="107">
        <v>1571500</v>
      </c>
      <c r="G35" s="107"/>
      <c r="H35" s="107"/>
      <c r="I35" s="107"/>
      <c r="J35" s="245"/>
      <c r="K35" s="245"/>
      <c r="L35" s="107"/>
      <c r="M35" s="107"/>
      <c r="N35" s="107"/>
      <c r="O35" s="245"/>
      <c r="P35" s="245">
        <f t="shared" si="6"/>
        <v>1571500</v>
      </c>
      <c r="Q35" s="225">
        <f t="shared" si="3"/>
        <v>0</v>
      </c>
      <c r="R35" s="228"/>
      <c r="S35" s="223"/>
    </row>
    <row r="36" spans="1:19" s="154" customFormat="1" ht="43.5" customHeight="1">
      <c r="A36" s="274" t="s">
        <v>376</v>
      </c>
      <c r="B36" s="274" t="s">
        <v>38</v>
      </c>
      <c r="C36" s="234" t="s">
        <v>45</v>
      </c>
      <c r="D36" s="237" t="s">
        <v>386</v>
      </c>
      <c r="E36" s="106">
        <f t="shared" si="10"/>
        <v>10883604</v>
      </c>
      <c r="F36" s="106">
        <v>10883604</v>
      </c>
      <c r="G36" s="106">
        <v>7768489</v>
      </c>
      <c r="H36" s="106">
        <v>362641</v>
      </c>
      <c r="I36" s="106"/>
      <c r="J36" s="127">
        <f t="shared" si="11"/>
        <v>171648</v>
      </c>
      <c r="K36" s="127"/>
      <c r="L36" s="106">
        <v>171648</v>
      </c>
      <c r="M36" s="106"/>
      <c r="N36" s="106">
        <f>6942+23134+17350</f>
        <v>47426</v>
      </c>
      <c r="O36" s="127"/>
      <c r="P36" s="127">
        <f t="shared" si="6"/>
        <v>11055252</v>
      </c>
      <c r="Q36" s="225">
        <f t="shared" si="3"/>
        <v>0</v>
      </c>
      <c r="R36" s="228"/>
      <c r="S36" s="223"/>
    </row>
    <row r="37" spans="1:19" ht="25.5" customHeight="1">
      <c r="A37" s="274" t="s">
        <v>391</v>
      </c>
      <c r="B37" s="274" t="s">
        <v>388</v>
      </c>
      <c r="C37" s="249" t="s">
        <v>45</v>
      </c>
      <c r="D37" s="114" t="s">
        <v>453</v>
      </c>
      <c r="E37" s="106">
        <f>F37+I37</f>
        <v>24318251</v>
      </c>
      <c r="F37" s="106">
        <v>24318251</v>
      </c>
      <c r="G37" s="106">
        <v>18805750</v>
      </c>
      <c r="H37" s="106">
        <v>673115</v>
      </c>
      <c r="I37" s="106"/>
      <c r="J37" s="127">
        <f>L37+O37</f>
        <v>3972000</v>
      </c>
      <c r="K37" s="127"/>
      <c r="L37" s="106">
        <v>3972000</v>
      </c>
      <c r="M37" s="106">
        <v>3174344</v>
      </c>
      <c r="N37" s="106">
        <v>9000</v>
      </c>
      <c r="O37" s="127"/>
      <c r="P37" s="127">
        <f>E37+J37</f>
        <v>28290251</v>
      </c>
      <c r="Q37" s="225">
        <f t="shared" si="3"/>
        <v>0</v>
      </c>
      <c r="R37" s="228"/>
      <c r="S37" s="109"/>
    </row>
    <row r="38" spans="1:19" s="154" customFormat="1" ht="21" customHeight="1">
      <c r="A38" s="274" t="s">
        <v>374</v>
      </c>
      <c r="B38" s="274" t="s">
        <v>375</v>
      </c>
      <c r="C38" s="234" t="s">
        <v>20</v>
      </c>
      <c r="D38" s="115" t="s">
        <v>298</v>
      </c>
      <c r="E38" s="106">
        <f t="shared" si="10"/>
        <v>17721378</v>
      </c>
      <c r="F38" s="106">
        <v>17721378</v>
      </c>
      <c r="G38" s="106">
        <v>13537516</v>
      </c>
      <c r="H38" s="106">
        <v>151649</v>
      </c>
      <c r="I38" s="106"/>
      <c r="J38" s="127">
        <f t="shared" si="11"/>
        <v>162606</v>
      </c>
      <c r="K38" s="127"/>
      <c r="L38" s="127">
        <v>162606</v>
      </c>
      <c r="M38" s="127">
        <v>92051</v>
      </c>
      <c r="N38" s="127"/>
      <c r="O38" s="127"/>
      <c r="P38" s="106">
        <f t="shared" si="6"/>
        <v>17883984</v>
      </c>
      <c r="Q38" s="225">
        <f t="shared" si="3"/>
        <v>0</v>
      </c>
      <c r="R38" s="228"/>
      <c r="S38" s="223"/>
    </row>
    <row r="39" spans="1:19" s="154" customFormat="1" ht="24" customHeight="1">
      <c r="A39" s="274" t="s">
        <v>372</v>
      </c>
      <c r="B39" s="274" t="s">
        <v>373</v>
      </c>
      <c r="C39" s="234" t="s">
        <v>20</v>
      </c>
      <c r="D39" s="237" t="s">
        <v>248</v>
      </c>
      <c r="E39" s="106">
        <f t="shared" si="10"/>
        <v>11515600</v>
      </c>
      <c r="F39" s="106">
        <f>11452250+63350</f>
        <v>11515600</v>
      </c>
      <c r="G39" s="106"/>
      <c r="H39" s="106"/>
      <c r="I39" s="106"/>
      <c r="J39" s="127">
        <f t="shared" si="11"/>
        <v>0</v>
      </c>
      <c r="K39" s="106"/>
      <c r="L39" s="106"/>
      <c r="M39" s="106"/>
      <c r="N39" s="106"/>
      <c r="O39" s="106"/>
      <c r="P39" s="106">
        <f t="shared" si="6"/>
        <v>11515600</v>
      </c>
      <c r="Q39" s="225">
        <f t="shared" si="3"/>
        <v>0</v>
      </c>
      <c r="R39" s="228"/>
      <c r="S39" s="223"/>
    </row>
    <row r="40" spans="1:19" s="154" customFormat="1" ht="39.75" customHeight="1">
      <c r="A40" s="274" t="s">
        <v>370</v>
      </c>
      <c r="B40" s="274" t="s">
        <v>371</v>
      </c>
      <c r="C40" s="249" t="s">
        <v>20</v>
      </c>
      <c r="D40" s="284" t="s">
        <v>387</v>
      </c>
      <c r="E40" s="106">
        <f>F40+I40</f>
        <v>1402311</v>
      </c>
      <c r="F40" s="106">
        <v>1402311</v>
      </c>
      <c r="G40" s="106">
        <v>783986</v>
      </c>
      <c r="H40" s="106">
        <v>199670</v>
      </c>
      <c r="I40" s="106"/>
      <c r="J40" s="127">
        <f t="shared" si="11"/>
        <v>32396</v>
      </c>
      <c r="K40" s="106"/>
      <c r="L40" s="106">
        <v>32396</v>
      </c>
      <c r="M40" s="106"/>
      <c r="N40" s="106">
        <f>2318+1159+28917</f>
        <v>32394</v>
      </c>
      <c r="O40" s="106"/>
      <c r="P40" s="106">
        <f t="shared" si="6"/>
        <v>1434707</v>
      </c>
      <c r="Q40" s="225">
        <f t="shared" si="3"/>
        <v>0</v>
      </c>
      <c r="R40" s="228"/>
      <c r="S40" s="223"/>
    </row>
    <row r="41" spans="1:19" s="154" customFormat="1" ht="36.75" customHeight="1">
      <c r="A41" s="274" t="s">
        <v>367</v>
      </c>
      <c r="B41" s="274" t="s">
        <v>368</v>
      </c>
      <c r="C41" s="234" t="s">
        <v>20</v>
      </c>
      <c r="D41" s="111" t="s">
        <v>369</v>
      </c>
      <c r="E41" s="106">
        <f t="shared" si="10"/>
        <v>1682400</v>
      </c>
      <c r="F41" s="106">
        <v>1682400</v>
      </c>
      <c r="G41" s="106">
        <v>1379014</v>
      </c>
      <c r="H41" s="106"/>
      <c r="I41" s="106"/>
      <c r="J41" s="127">
        <f t="shared" si="11"/>
        <v>0</v>
      </c>
      <c r="K41" s="106"/>
      <c r="L41" s="106"/>
      <c r="M41" s="106"/>
      <c r="N41" s="106"/>
      <c r="O41" s="106"/>
      <c r="P41" s="106">
        <f t="shared" si="6"/>
        <v>1682400</v>
      </c>
      <c r="Q41" s="225">
        <f t="shared" si="3"/>
        <v>0</v>
      </c>
      <c r="R41" s="228"/>
      <c r="S41" s="223"/>
    </row>
    <row r="42" spans="1:19" s="154" customFormat="1" ht="39.75" customHeight="1">
      <c r="A42" s="274" t="s">
        <v>423</v>
      </c>
      <c r="B42" s="274" t="s">
        <v>424</v>
      </c>
      <c r="C42" s="234" t="s">
        <v>20</v>
      </c>
      <c r="D42" s="111" t="s">
        <v>425</v>
      </c>
      <c r="E42" s="106">
        <f t="shared" si="10"/>
        <v>3538085</v>
      </c>
      <c r="F42" s="106">
        <v>3538085</v>
      </c>
      <c r="G42" s="106">
        <v>2808508</v>
      </c>
      <c r="H42" s="106">
        <v>6887</v>
      </c>
      <c r="I42" s="106"/>
      <c r="J42" s="127"/>
      <c r="K42" s="106"/>
      <c r="L42" s="106"/>
      <c r="M42" s="106"/>
      <c r="N42" s="106"/>
      <c r="O42" s="106"/>
      <c r="P42" s="106">
        <f t="shared" si="6"/>
        <v>3538085</v>
      </c>
      <c r="Q42" s="225">
        <f t="shared" si="3"/>
        <v>0</v>
      </c>
      <c r="R42" s="228"/>
      <c r="S42" s="223"/>
    </row>
    <row r="43" spans="1:19" s="154" customFormat="1" ht="52.5" customHeight="1">
      <c r="A43" s="274" t="s">
        <v>381</v>
      </c>
      <c r="B43" s="274" t="s">
        <v>382</v>
      </c>
      <c r="C43" s="234" t="s">
        <v>20</v>
      </c>
      <c r="D43" s="237" t="s">
        <v>383</v>
      </c>
      <c r="E43" s="106">
        <f>F43+I43</f>
        <v>2676500</v>
      </c>
      <c r="F43" s="106">
        <v>2676500</v>
      </c>
      <c r="G43" s="106">
        <v>1651718</v>
      </c>
      <c r="H43" s="106"/>
      <c r="I43" s="106"/>
      <c r="J43" s="127">
        <f>L43+O43</f>
        <v>0</v>
      </c>
      <c r="K43" s="127"/>
      <c r="L43" s="127"/>
      <c r="M43" s="127"/>
      <c r="N43" s="127"/>
      <c r="O43" s="127"/>
      <c r="P43" s="127">
        <f>E43+J43</f>
        <v>2676500</v>
      </c>
      <c r="Q43" s="225">
        <f t="shared" si="3"/>
        <v>0</v>
      </c>
      <c r="R43" s="228"/>
      <c r="S43" s="223"/>
    </row>
    <row r="44" spans="1:19" s="62" customFormat="1" ht="36.75" customHeight="1">
      <c r="A44" s="274" t="s">
        <v>181</v>
      </c>
      <c r="B44" s="274" t="s">
        <v>182</v>
      </c>
      <c r="C44" s="249" t="s">
        <v>36</v>
      </c>
      <c r="D44" s="237" t="s">
        <v>183</v>
      </c>
      <c r="E44" s="106">
        <f t="shared" si="10"/>
        <v>595800</v>
      </c>
      <c r="F44" s="106">
        <v>595800</v>
      </c>
      <c r="G44" s="106"/>
      <c r="H44" s="106"/>
      <c r="I44" s="106"/>
      <c r="J44" s="106"/>
      <c r="K44" s="127"/>
      <c r="L44" s="127"/>
      <c r="M44" s="127"/>
      <c r="N44" s="127"/>
      <c r="O44" s="127"/>
      <c r="P44" s="127">
        <f t="shared" si="6"/>
        <v>595800</v>
      </c>
      <c r="Q44" s="225">
        <f t="shared" si="3"/>
        <v>0</v>
      </c>
      <c r="R44" s="228"/>
      <c r="S44" s="223"/>
    </row>
    <row r="45" spans="1:19" s="62" customFormat="1" ht="58.5" customHeight="1">
      <c r="A45" s="274" t="s">
        <v>205</v>
      </c>
      <c r="B45" s="274" t="s">
        <v>59</v>
      </c>
      <c r="C45" s="235">
        <v>1040</v>
      </c>
      <c r="D45" s="285" t="s">
        <v>184</v>
      </c>
      <c r="E45" s="106">
        <f t="shared" si="10"/>
        <v>198000</v>
      </c>
      <c r="F45" s="106">
        <v>198000</v>
      </c>
      <c r="G45" s="106"/>
      <c r="H45" s="106"/>
      <c r="I45" s="106"/>
      <c r="J45" s="127">
        <f aca="true" t="shared" si="12" ref="J45:J51">L45+O45</f>
        <v>0</v>
      </c>
      <c r="K45" s="127"/>
      <c r="L45" s="127"/>
      <c r="M45" s="127"/>
      <c r="N45" s="127"/>
      <c r="O45" s="127"/>
      <c r="P45" s="127">
        <f t="shared" si="6"/>
        <v>198000</v>
      </c>
      <c r="Q45" s="225">
        <f t="shared" si="3"/>
        <v>0</v>
      </c>
      <c r="R45" s="228"/>
      <c r="S45" s="223"/>
    </row>
    <row r="46" spans="1:19" ht="19.5" customHeight="1">
      <c r="A46" s="269" t="s">
        <v>392</v>
      </c>
      <c r="B46" s="269" t="s">
        <v>174</v>
      </c>
      <c r="C46" s="270" t="s">
        <v>175</v>
      </c>
      <c r="D46" s="271" t="s">
        <v>176</v>
      </c>
      <c r="E46" s="258">
        <f>F46</f>
        <v>9043303</v>
      </c>
      <c r="F46" s="258">
        <v>9043303</v>
      </c>
      <c r="G46" s="258">
        <v>6592861</v>
      </c>
      <c r="H46" s="258">
        <v>724537</v>
      </c>
      <c r="I46" s="230"/>
      <c r="J46" s="127">
        <f t="shared" si="12"/>
        <v>540900</v>
      </c>
      <c r="K46" s="127"/>
      <c r="L46" s="127">
        <f>540900-3000</f>
        <v>537900</v>
      </c>
      <c r="M46" s="127">
        <v>248028</v>
      </c>
      <c r="N46" s="127">
        <v>8000</v>
      </c>
      <c r="O46" s="127">
        <v>3000</v>
      </c>
      <c r="P46" s="127">
        <f>E46+J46</f>
        <v>9584203</v>
      </c>
      <c r="Q46" s="225">
        <f t="shared" si="3"/>
        <v>3000</v>
      </c>
      <c r="R46" s="228"/>
      <c r="S46" s="109"/>
    </row>
    <row r="47" spans="1:19" ht="20.25" customHeight="1">
      <c r="A47" s="269" t="s">
        <v>393</v>
      </c>
      <c r="B47" s="269" t="s">
        <v>169</v>
      </c>
      <c r="C47" s="270" t="s">
        <v>43</v>
      </c>
      <c r="D47" s="272" t="s">
        <v>170</v>
      </c>
      <c r="E47" s="257">
        <f>F47+I47</f>
        <v>3465313</v>
      </c>
      <c r="F47" s="257">
        <v>3465313</v>
      </c>
      <c r="G47" s="257">
        <v>2356085</v>
      </c>
      <c r="H47" s="257">
        <v>479959</v>
      </c>
      <c r="I47" s="242"/>
      <c r="J47" s="127">
        <f t="shared" si="12"/>
        <v>117600</v>
      </c>
      <c r="K47" s="127"/>
      <c r="L47" s="106">
        <v>117600</v>
      </c>
      <c r="M47" s="106"/>
      <c r="N47" s="106">
        <v>65000</v>
      </c>
      <c r="O47" s="127"/>
      <c r="P47" s="127">
        <f>E47+J47</f>
        <v>3582913</v>
      </c>
      <c r="Q47" s="225">
        <f t="shared" si="3"/>
        <v>0</v>
      </c>
      <c r="R47" s="228"/>
      <c r="S47" s="109"/>
    </row>
    <row r="48" spans="1:19" ht="19.5" customHeight="1">
      <c r="A48" s="269" t="s">
        <v>394</v>
      </c>
      <c r="B48" s="269" t="s">
        <v>171</v>
      </c>
      <c r="C48" s="270" t="s">
        <v>43</v>
      </c>
      <c r="D48" s="272" t="s">
        <v>172</v>
      </c>
      <c r="E48" s="242">
        <f>F48+I48</f>
        <v>0</v>
      </c>
      <c r="F48" s="242"/>
      <c r="G48" s="242"/>
      <c r="H48" s="242"/>
      <c r="I48" s="242"/>
      <c r="J48" s="258">
        <f t="shared" si="12"/>
        <v>10900000</v>
      </c>
      <c r="K48" s="258"/>
      <c r="L48" s="257">
        <f>10900000-1123600</f>
        <v>9776400</v>
      </c>
      <c r="M48" s="257">
        <v>5000000</v>
      </c>
      <c r="N48" s="257">
        <f>1710000+30000</f>
        <v>1740000</v>
      </c>
      <c r="O48" s="258">
        <v>1123600</v>
      </c>
      <c r="P48" s="258">
        <f>E48+J48</f>
        <v>10900000</v>
      </c>
      <c r="Q48" s="225">
        <f t="shared" si="3"/>
        <v>1123600</v>
      </c>
      <c r="R48" s="228"/>
      <c r="S48" s="109"/>
    </row>
    <row r="49" spans="1:19" ht="33.75" customHeight="1">
      <c r="A49" s="269" t="s">
        <v>395</v>
      </c>
      <c r="B49" s="269" t="s">
        <v>65</v>
      </c>
      <c r="C49" s="270" t="s">
        <v>44</v>
      </c>
      <c r="D49" s="272" t="s">
        <v>173</v>
      </c>
      <c r="E49" s="257">
        <f>F49+I49</f>
        <v>7720710</v>
      </c>
      <c r="F49" s="257">
        <v>7720710</v>
      </c>
      <c r="G49" s="257">
        <v>4087931</v>
      </c>
      <c r="H49" s="257">
        <v>1793130</v>
      </c>
      <c r="I49" s="242"/>
      <c r="J49" s="258">
        <f t="shared" si="12"/>
        <v>202300</v>
      </c>
      <c r="K49" s="258"/>
      <c r="L49" s="257">
        <v>202300</v>
      </c>
      <c r="M49" s="257">
        <v>36147</v>
      </c>
      <c r="N49" s="257">
        <v>16000</v>
      </c>
      <c r="O49" s="258"/>
      <c r="P49" s="258">
        <f>E49+J49</f>
        <v>7923010</v>
      </c>
      <c r="Q49" s="225">
        <f t="shared" si="3"/>
        <v>0</v>
      </c>
      <c r="R49" s="228"/>
      <c r="S49" s="109"/>
    </row>
    <row r="50" spans="1:19" ht="18.75" customHeight="1">
      <c r="A50" s="269" t="s">
        <v>390</v>
      </c>
      <c r="B50" s="269" t="s">
        <v>12</v>
      </c>
      <c r="C50" s="270" t="s">
        <v>46</v>
      </c>
      <c r="D50" s="273" t="s">
        <v>13</v>
      </c>
      <c r="E50" s="257">
        <f>F50+I50</f>
        <v>1700000</v>
      </c>
      <c r="F50" s="257">
        <v>1700000</v>
      </c>
      <c r="G50" s="257"/>
      <c r="H50" s="257"/>
      <c r="I50" s="257"/>
      <c r="J50" s="259">
        <f t="shared" si="12"/>
        <v>100000</v>
      </c>
      <c r="K50" s="260">
        <v>100000</v>
      </c>
      <c r="L50" s="260"/>
      <c r="M50" s="260"/>
      <c r="N50" s="260"/>
      <c r="O50" s="260">
        <v>100000</v>
      </c>
      <c r="P50" s="259">
        <f>E50+J50</f>
        <v>1800000</v>
      </c>
      <c r="Q50" s="225">
        <f t="shared" si="3"/>
        <v>0</v>
      </c>
      <c r="R50" s="228"/>
      <c r="S50" s="109"/>
    </row>
    <row r="51" spans="1:19" s="63" customFormat="1" ht="31.5">
      <c r="A51" s="274" t="s">
        <v>185</v>
      </c>
      <c r="B51" s="274" t="s">
        <v>61</v>
      </c>
      <c r="C51" s="234" t="s">
        <v>249</v>
      </c>
      <c r="D51" s="276" t="s">
        <v>29</v>
      </c>
      <c r="E51" s="127">
        <f t="shared" si="10"/>
        <v>1110690</v>
      </c>
      <c r="F51" s="127">
        <v>1110690</v>
      </c>
      <c r="G51" s="127"/>
      <c r="H51" s="127"/>
      <c r="I51" s="127"/>
      <c r="J51" s="127">
        <f t="shared" si="12"/>
        <v>0</v>
      </c>
      <c r="K51" s="127"/>
      <c r="L51" s="127"/>
      <c r="M51" s="127"/>
      <c r="N51" s="127"/>
      <c r="O51" s="127"/>
      <c r="P51" s="127">
        <f t="shared" si="6"/>
        <v>1110690</v>
      </c>
      <c r="Q51" s="225">
        <f t="shared" si="3"/>
        <v>0</v>
      </c>
      <c r="R51" s="228"/>
      <c r="S51" s="223"/>
    </row>
    <row r="52" spans="1:19" s="63" customFormat="1" ht="36.75" customHeight="1">
      <c r="A52" s="274" t="s">
        <v>186</v>
      </c>
      <c r="B52" s="274" t="s">
        <v>23</v>
      </c>
      <c r="C52" s="234" t="s">
        <v>249</v>
      </c>
      <c r="D52" s="276" t="s">
        <v>67</v>
      </c>
      <c r="E52" s="127">
        <f t="shared" si="10"/>
        <v>258438</v>
      </c>
      <c r="F52" s="127">
        <v>258438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>
        <f t="shared" si="6"/>
        <v>258438</v>
      </c>
      <c r="Q52" s="225">
        <f t="shared" si="3"/>
        <v>0</v>
      </c>
      <c r="R52" s="228"/>
      <c r="S52" s="223"/>
    </row>
    <row r="53" spans="1:19" s="63" customFormat="1" ht="37.5" customHeight="1">
      <c r="A53" s="274" t="s">
        <v>206</v>
      </c>
      <c r="B53" s="274" t="s">
        <v>149</v>
      </c>
      <c r="C53" s="234" t="s">
        <v>249</v>
      </c>
      <c r="D53" s="237" t="s">
        <v>150</v>
      </c>
      <c r="E53" s="127">
        <f t="shared" si="10"/>
        <v>17018788</v>
      </c>
      <c r="F53" s="106">
        <f>17218788-200000</f>
        <v>17018788</v>
      </c>
      <c r="G53" s="106">
        <v>10008154</v>
      </c>
      <c r="H53" s="106">
        <v>2408044</v>
      </c>
      <c r="I53" s="106"/>
      <c r="J53" s="127">
        <f>L53+O53</f>
        <v>716028</v>
      </c>
      <c r="K53" s="127">
        <v>200000</v>
      </c>
      <c r="L53" s="106">
        <v>516028</v>
      </c>
      <c r="M53" s="106"/>
      <c r="N53" s="106">
        <f>17582+185071</f>
        <v>202653</v>
      </c>
      <c r="O53" s="127">
        <v>200000</v>
      </c>
      <c r="P53" s="127">
        <f t="shared" si="6"/>
        <v>17734816</v>
      </c>
      <c r="Q53" s="225">
        <f t="shared" si="3"/>
        <v>0</v>
      </c>
      <c r="R53" s="228"/>
      <c r="S53" s="223"/>
    </row>
    <row r="54" spans="1:19" s="63" customFormat="1" ht="37.5" customHeight="1">
      <c r="A54" s="274" t="s">
        <v>300</v>
      </c>
      <c r="B54" s="274" t="s">
        <v>299</v>
      </c>
      <c r="C54" s="249" t="s">
        <v>249</v>
      </c>
      <c r="D54" s="114" t="s">
        <v>301</v>
      </c>
      <c r="E54" s="127">
        <f t="shared" si="10"/>
        <v>414200</v>
      </c>
      <c r="F54" s="106">
        <v>414200</v>
      </c>
      <c r="G54" s="106"/>
      <c r="H54" s="106"/>
      <c r="I54" s="106"/>
      <c r="J54" s="127"/>
      <c r="K54" s="127"/>
      <c r="L54" s="106"/>
      <c r="M54" s="106"/>
      <c r="N54" s="106"/>
      <c r="O54" s="127"/>
      <c r="P54" s="127">
        <f t="shared" si="6"/>
        <v>414200</v>
      </c>
      <c r="Q54" s="225">
        <f t="shared" si="3"/>
        <v>0</v>
      </c>
      <c r="R54" s="228"/>
      <c r="S54" s="223"/>
    </row>
    <row r="55" spans="1:19" s="69" customFormat="1" ht="31.5">
      <c r="A55" s="129" t="s">
        <v>153</v>
      </c>
      <c r="B55" s="129" t="s">
        <v>152</v>
      </c>
      <c r="C55" s="135"/>
      <c r="D55" s="125" t="s">
        <v>275</v>
      </c>
      <c r="E55" s="112">
        <f aca="true" t="shared" si="13" ref="E55:E64">F55+I55</f>
        <v>42941126</v>
      </c>
      <c r="F55" s="132">
        <f aca="true" t="shared" si="14" ref="F55:O55">F56</f>
        <v>42941126</v>
      </c>
      <c r="G55" s="132">
        <f t="shared" si="14"/>
        <v>15657786</v>
      </c>
      <c r="H55" s="132">
        <f t="shared" si="14"/>
        <v>163000</v>
      </c>
      <c r="I55" s="132">
        <f t="shared" si="14"/>
        <v>0</v>
      </c>
      <c r="J55" s="132">
        <f>J56</f>
        <v>0</v>
      </c>
      <c r="K55" s="132">
        <f t="shared" si="14"/>
        <v>0</v>
      </c>
      <c r="L55" s="132">
        <f t="shared" si="14"/>
        <v>0</v>
      </c>
      <c r="M55" s="132">
        <f t="shared" si="14"/>
        <v>0</v>
      </c>
      <c r="N55" s="132">
        <f t="shared" si="14"/>
        <v>0</v>
      </c>
      <c r="O55" s="132">
        <f t="shared" si="14"/>
        <v>0</v>
      </c>
      <c r="P55" s="132">
        <f t="shared" si="6"/>
        <v>42941126</v>
      </c>
      <c r="Q55" s="225">
        <f t="shared" si="3"/>
        <v>0</v>
      </c>
      <c r="R55" s="228"/>
      <c r="S55" s="223"/>
    </row>
    <row r="56" spans="1:19" s="69" customFormat="1" ht="31.5">
      <c r="A56" s="129" t="s">
        <v>154</v>
      </c>
      <c r="B56" s="129"/>
      <c r="C56" s="135"/>
      <c r="D56" s="113" t="s">
        <v>276</v>
      </c>
      <c r="E56" s="112">
        <f t="shared" si="13"/>
        <v>42941126</v>
      </c>
      <c r="F56" s="132">
        <f>SUM(F57:F64)</f>
        <v>42941126</v>
      </c>
      <c r="G56" s="132">
        <f>SUM(G57:G64)</f>
        <v>15657786</v>
      </c>
      <c r="H56" s="132">
        <f>SUM(H57:H64)</f>
        <v>163000</v>
      </c>
      <c r="I56" s="132">
        <f>SUM(I57:I64)</f>
        <v>0</v>
      </c>
      <c r="J56" s="132">
        <f>L56+O56</f>
        <v>0</v>
      </c>
      <c r="K56" s="132">
        <f>SUM(K57:K64)</f>
        <v>0</v>
      </c>
      <c r="L56" s="132">
        <f>SUM(L57:L64)</f>
        <v>0</v>
      </c>
      <c r="M56" s="132">
        <f>SUM(M57:M64)</f>
        <v>0</v>
      </c>
      <c r="N56" s="132">
        <f>SUM(N57:N64)</f>
        <v>0</v>
      </c>
      <c r="O56" s="132">
        <f>SUM(O57:O64)</f>
        <v>0</v>
      </c>
      <c r="P56" s="132">
        <f t="shared" si="6"/>
        <v>42941126</v>
      </c>
      <c r="Q56" s="225">
        <f t="shared" si="3"/>
        <v>0</v>
      </c>
      <c r="R56" s="228"/>
      <c r="S56" s="223"/>
    </row>
    <row r="57" spans="1:19" s="70" customFormat="1" ht="52.5" customHeight="1">
      <c r="A57" s="277" t="s">
        <v>157</v>
      </c>
      <c r="B57" s="277" t="s">
        <v>156</v>
      </c>
      <c r="C57" s="286" t="s">
        <v>35</v>
      </c>
      <c r="D57" s="169" t="s">
        <v>380</v>
      </c>
      <c r="E57" s="106">
        <f t="shared" si="13"/>
        <v>15741126</v>
      </c>
      <c r="F57" s="106">
        <v>15741126</v>
      </c>
      <c r="G57" s="106">
        <v>12283710</v>
      </c>
      <c r="H57" s="106">
        <f>7000+145000+10000+1000</f>
        <v>163000</v>
      </c>
      <c r="I57" s="106"/>
      <c r="J57" s="127">
        <f>L57+O57</f>
        <v>0</v>
      </c>
      <c r="K57" s="127"/>
      <c r="L57" s="127"/>
      <c r="M57" s="127"/>
      <c r="N57" s="127"/>
      <c r="O57" s="127"/>
      <c r="P57" s="127">
        <f t="shared" si="6"/>
        <v>15741126</v>
      </c>
      <c r="Q57" s="225">
        <f t="shared" si="3"/>
        <v>0</v>
      </c>
      <c r="R57" s="228"/>
      <c r="S57" s="223"/>
    </row>
    <row r="58" spans="1:19" s="70" customFormat="1" ht="34.5" customHeight="1">
      <c r="A58" s="274" t="s">
        <v>303</v>
      </c>
      <c r="B58" s="274" t="s">
        <v>302</v>
      </c>
      <c r="C58" s="249" t="s">
        <v>38</v>
      </c>
      <c r="D58" s="111" t="s">
        <v>304</v>
      </c>
      <c r="E58" s="106">
        <f t="shared" si="13"/>
        <v>100000</v>
      </c>
      <c r="F58" s="106">
        <v>100000</v>
      </c>
      <c r="G58" s="106"/>
      <c r="H58" s="106"/>
      <c r="I58" s="106"/>
      <c r="J58" s="127"/>
      <c r="K58" s="127"/>
      <c r="L58" s="127"/>
      <c r="M58" s="127"/>
      <c r="N58" s="127"/>
      <c r="O58" s="127"/>
      <c r="P58" s="127">
        <f t="shared" si="6"/>
        <v>100000</v>
      </c>
      <c r="Q58" s="225">
        <f t="shared" si="3"/>
        <v>0</v>
      </c>
      <c r="R58" s="228"/>
      <c r="S58" s="223"/>
    </row>
    <row r="59" spans="1:19" s="154" customFormat="1" ht="37.5" customHeight="1">
      <c r="A59" s="274" t="s">
        <v>155</v>
      </c>
      <c r="B59" s="274" t="s">
        <v>64</v>
      </c>
      <c r="C59" s="234" t="s">
        <v>38</v>
      </c>
      <c r="D59" s="237" t="s">
        <v>31</v>
      </c>
      <c r="E59" s="106">
        <f t="shared" si="13"/>
        <v>6000000</v>
      </c>
      <c r="F59" s="106">
        <v>6000000</v>
      </c>
      <c r="G59" s="127"/>
      <c r="H59" s="127"/>
      <c r="I59" s="127"/>
      <c r="J59" s="127">
        <f>L59+O59</f>
        <v>0</v>
      </c>
      <c r="K59" s="127"/>
      <c r="L59" s="127"/>
      <c r="M59" s="127"/>
      <c r="N59" s="127"/>
      <c r="O59" s="127"/>
      <c r="P59" s="127">
        <f>E59+J59</f>
        <v>6000000</v>
      </c>
      <c r="Q59" s="225">
        <f t="shared" si="3"/>
        <v>0</v>
      </c>
      <c r="R59" s="228"/>
      <c r="S59" s="223"/>
    </row>
    <row r="60" spans="1:19" s="154" customFormat="1" ht="48.75" customHeight="1">
      <c r="A60" s="274" t="s">
        <v>345</v>
      </c>
      <c r="B60" s="274" t="s">
        <v>346</v>
      </c>
      <c r="C60" s="234" t="s">
        <v>38</v>
      </c>
      <c r="D60" s="237" t="s">
        <v>347</v>
      </c>
      <c r="E60" s="106">
        <f t="shared" si="13"/>
        <v>960000</v>
      </c>
      <c r="F60" s="106">
        <v>960000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>
        <f>E60+J60</f>
        <v>960000</v>
      </c>
      <c r="Q60" s="225">
        <f t="shared" si="3"/>
        <v>0</v>
      </c>
      <c r="R60" s="228"/>
      <c r="S60" s="223"/>
    </row>
    <row r="61" spans="1:19" s="154" customFormat="1" ht="47.25">
      <c r="A61" s="274" t="s">
        <v>306</v>
      </c>
      <c r="B61" s="274" t="s">
        <v>307</v>
      </c>
      <c r="C61" s="234" t="s">
        <v>41</v>
      </c>
      <c r="D61" s="237" t="s">
        <v>308</v>
      </c>
      <c r="E61" s="106">
        <f t="shared" si="13"/>
        <v>4090000</v>
      </c>
      <c r="F61" s="106">
        <v>4090000</v>
      </c>
      <c r="G61" s="127">
        <v>3333096</v>
      </c>
      <c r="H61" s="127"/>
      <c r="I61" s="127"/>
      <c r="J61" s="127"/>
      <c r="K61" s="127"/>
      <c r="L61" s="127"/>
      <c r="M61" s="127"/>
      <c r="N61" s="127"/>
      <c r="O61" s="127"/>
      <c r="P61" s="127">
        <f>E61+J61</f>
        <v>4090000</v>
      </c>
      <c r="Q61" s="225">
        <f t="shared" si="3"/>
        <v>0</v>
      </c>
      <c r="R61" s="228"/>
      <c r="S61" s="223"/>
    </row>
    <row r="62" spans="1:19" s="154" customFormat="1" ht="63">
      <c r="A62" s="274" t="s">
        <v>158</v>
      </c>
      <c r="B62" s="274" t="s">
        <v>60</v>
      </c>
      <c r="C62" s="234" t="s">
        <v>39</v>
      </c>
      <c r="D62" s="237" t="s">
        <v>18</v>
      </c>
      <c r="E62" s="106">
        <f t="shared" si="13"/>
        <v>1000000</v>
      </c>
      <c r="F62" s="106">
        <v>1000000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27">
        <f aca="true" t="shared" si="15" ref="P62:P85">E62+J62</f>
        <v>1000000</v>
      </c>
      <c r="Q62" s="225">
        <f t="shared" si="3"/>
        <v>0</v>
      </c>
      <c r="R62" s="228"/>
      <c r="S62" s="223"/>
    </row>
    <row r="63" spans="1:19" s="66" customFormat="1" ht="28.5" customHeight="1">
      <c r="A63" s="274" t="s">
        <v>17</v>
      </c>
      <c r="B63" s="274" t="s">
        <v>7</v>
      </c>
      <c r="C63" s="249" t="s">
        <v>24</v>
      </c>
      <c r="D63" s="237" t="s">
        <v>25</v>
      </c>
      <c r="E63" s="106">
        <f t="shared" si="13"/>
        <v>50000</v>
      </c>
      <c r="F63" s="106">
        <v>50000</v>
      </c>
      <c r="G63" s="127">
        <v>40980</v>
      </c>
      <c r="H63" s="127"/>
      <c r="I63" s="127"/>
      <c r="J63" s="127">
        <f>L63+O63</f>
        <v>0</v>
      </c>
      <c r="K63" s="127"/>
      <c r="L63" s="127"/>
      <c r="M63" s="127"/>
      <c r="N63" s="127"/>
      <c r="O63" s="127"/>
      <c r="P63" s="127">
        <f t="shared" si="15"/>
        <v>50000</v>
      </c>
      <c r="Q63" s="225">
        <f t="shared" si="3"/>
        <v>0</v>
      </c>
      <c r="R63" s="228"/>
      <c r="S63" s="109"/>
    </row>
    <row r="64" spans="1:19" s="66" customFormat="1" ht="42.75" customHeight="1">
      <c r="A64" s="274" t="s">
        <v>19</v>
      </c>
      <c r="B64" s="274" t="s">
        <v>8</v>
      </c>
      <c r="C64" s="249" t="s">
        <v>40</v>
      </c>
      <c r="D64" s="287" t="s">
        <v>9</v>
      </c>
      <c r="E64" s="106">
        <f t="shared" si="13"/>
        <v>15000000</v>
      </c>
      <c r="F64" s="106">
        <v>15000000</v>
      </c>
      <c r="G64" s="106"/>
      <c r="H64" s="106"/>
      <c r="I64" s="106"/>
      <c r="J64" s="127">
        <f>L64+O64</f>
        <v>0</v>
      </c>
      <c r="K64" s="106"/>
      <c r="L64" s="106"/>
      <c r="M64" s="106"/>
      <c r="N64" s="106"/>
      <c r="O64" s="106"/>
      <c r="P64" s="127">
        <f t="shared" si="15"/>
        <v>15000000</v>
      </c>
      <c r="Q64" s="225">
        <f t="shared" si="3"/>
        <v>0</v>
      </c>
      <c r="R64" s="228"/>
      <c r="S64" s="109"/>
    </row>
    <row r="65" spans="1:19" s="57" customFormat="1" ht="34.5" customHeight="1">
      <c r="A65" s="129" t="s">
        <v>188</v>
      </c>
      <c r="B65" s="129" t="s">
        <v>187</v>
      </c>
      <c r="C65" s="130"/>
      <c r="D65" s="131" t="s">
        <v>277</v>
      </c>
      <c r="E65" s="132">
        <f>E66</f>
        <v>134841682</v>
      </c>
      <c r="F65" s="132">
        <f aca="true" t="shared" si="16" ref="F65:O65">F66</f>
        <v>11741749</v>
      </c>
      <c r="G65" s="132">
        <f t="shared" si="16"/>
        <v>7670000</v>
      </c>
      <c r="H65" s="132">
        <f t="shared" si="16"/>
        <v>220267</v>
      </c>
      <c r="I65" s="132">
        <f t="shared" si="16"/>
        <v>123099933</v>
      </c>
      <c r="J65" s="112">
        <f aca="true" t="shared" si="17" ref="J65:J83">L65+O65</f>
        <v>49797557</v>
      </c>
      <c r="K65" s="132">
        <f t="shared" si="16"/>
        <v>49252957</v>
      </c>
      <c r="L65" s="132">
        <f t="shared" si="16"/>
        <v>380000</v>
      </c>
      <c r="M65" s="132">
        <f t="shared" si="16"/>
        <v>245800</v>
      </c>
      <c r="N65" s="132">
        <f t="shared" si="16"/>
        <v>0</v>
      </c>
      <c r="O65" s="132">
        <f t="shared" si="16"/>
        <v>49417557</v>
      </c>
      <c r="P65" s="132">
        <f t="shared" si="15"/>
        <v>184639239</v>
      </c>
      <c r="Q65" s="225">
        <f t="shared" si="3"/>
        <v>164600</v>
      </c>
      <c r="R65" s="228"/>
      <c r="S65" s="109"/>
    </row>
    <row r="66" spans="1:19" s="57" customFormat="1" ht="37.5" customHeight="1">
      <c r="A66" s="129" t="s">
        <v>189</v>
      </c>
      <c r="B66" s="129"/>
      <c r="C66" s="130"/>
      <c r="D66" s="131" t="s">
        <v>278</v>
      </c>
      <c r="E66" s="132">
        <f aca="true" t="shared" si="18" ref="E66:E76">F66+I66</f>
        <v>134841682</v>
      </c>
      <c r="F66" s="132">
        <f>SUM(F67:F83)</f>
        <v>11741749</v>
      </c>
      <c r="G66" s="132">
        <f>SUM(G67:G83)</f>
        <v>7670000</v>
      </c>
      <c r="H66" s="132">
        <f>SUM(H67:H83)</f>
        <v>220267</v>
      </c>
      <c r="I66" s="132">
        <f>SUM(I67:I83)</f>
        <v>123099933</v>
      </c>
      <c r="J66" s="112">
        <f t="shared" si="17"/>
        <v>49797557</v>
      </c>
      <c r="K66" s="132">
        <f>SUM(K67:K83)</f>
        <v>49252957</v>
      </c>
      <c r="L66" s="132">
        <f>SUM(L67:L83)</f>
        <v>380000</v>
      </c>
      <c r="M66" s="132">
        <f>SUM(M67:M83)</f>
        <v>245800</v>
      </c>
      <c r="N66" s="132">
        <f>SUM(N67:N83)</f>
        <v>0</v>
      </c>
      <c r="O66" s="132">
        <f>SUM(O67:O83)</f>
        <v>49417557</v>
      </c>
      <c r="P66" s="132">
        <f t="shared" si="15"/>
        <v>184639239</v>
      </c>
      <c r="Q66" s="225">
        <f t="shared" si="3"/>
        <v>164600</v>
      </c>
      <c r="R66" s="228"/>
      <c r="S66" s="109"/>
    </row>
    <row r="67" spans="1:19" s="154" customFormat="1" ht="47.25" customHeight="1">
      <c r="A67" s="254" t="s">
        <v>190</v>
      </c>
      <c r="B67" s="254" t="s">
        <v>156</v>
      </c>
      <c r="C67" s="249" t="s">
        <v>35</v>
      </c>
      <c r="D67" s="169" t="s">
        <v>380</v>
      </c>
      <c r="E67" s="106">
        <f t="shared" si="18"/>
        <v>9981749</v>
      </c>
      <c r="F67" s="106">
        <v>9981749</v>
      </c>
      <c r="G67" s="106">
        <f>7670000</f>
        <v>7670000</v>
      </c>
      <c r="H67" s="106">
        <f>220267</f>
        <v>220267</v>
      </c>
      <c r="I67" s="106"/>
      <c r="J67" s="106">
        <f t="shared" si="17"/>
        <v>300000</v>
      </c>
      <c r="K67" s="106"/>
      <c r="L67" s="106">
        <v>300000</v>
      </c>
      <c r="M67" s="106">
        <v>245800</v>
      </c>
      <c r="N67" s="106"/>
      <c r="O67" s="106"/>
      <c r="P67" s="127">
        <f t="shared" si="15"/>
        <v>10281749</v>
      </c>
      <c r="Q67" s="225">
        <f t="shared" si="3"/>
        <v>0</v>
      </c>
      <c r="R67" s="228"/>
      <c r="S67" s="223"/>
    </row>
    <row r="68" spans="1:19" s="154" customFormat="1" ht="23.25" customHeight="1">
      <c r="A68" s="254" t="s">
        <v>354</v>
      </c>
      <c r="B68" s="254" t="s">
        <v>51</v>
      </c>
      <c r="C68" s="249" t="s">
        <v>42</v>
      </c>
      <c r="D68" s="237" t="s">
        <v>165</v>
      </c>
      <c r="E68" s="106">
        <f t="shared" si="18"/>
        <v>610000</v>
      </c>
      <c r="F68" s="106">
        <f>240000+50000+200000+120000</f>
        <v>610000</v>
      </c>
      <c r="G68" s="106"/>
      <c r="H68" s="106"/>
      <c r="I68" s="106"/>
      <c r="J68" s="106">
        <f>L68+O68</f>
        <v>0</v>
      </c>
      <c r="K68" s="106"/>
      <c r="L68" s="106"/>
      <c r="M68" s="106"/>
      <c r="N68" s="106"/>
      <c r="O68" s="106"/>
      <c r="P68" s="127">
        <f>E68+J68</f>
        <v>610000</v>
      </c>
      <c r="Q68" s="225">
        <f t="shared" si="3"/>
        <v>0</v>
      </c>
      <c r="R68" s="228"/>
      <c r="S68" s="109"/>
    </row>
    <row r="69" spans="1:19" s="9" customFormat="1" ht="29.25" customHeight="1">
      <c r="A69" s="254" t="s">
        <v>16</v>
      </c>
      <c r="B69" s="254" t="s">
        <v>7</v>
      </c>
      <c r="C69" s="249" t="s">
        <v>24</v>
      </c>
      <c r="D69" s="237" t="s">
        <v>25</v>
      </c>
      <c r="E69" s="127">
        <f t="shared" si="18"/>
        <v>80000</v>
      </c>
      <c r="F69" s="127">
        <f>30000+50000</f>
        <v>80000</v>
      </c>
      <c r="G69" s="127"/>
      <c r="H69" s="127"/>
      <c r="I69" s="127"/>
      <c r="J69" s="127">
        <f t="shared" si="17"/>
        <v>0</v>
      </c>
      <c r="K69" s="127"/>
      <c r="L69" s="127"/>
      <c r="M69" s="127"/>
      <c r="N69" s="127"/>
      <c r="O69" s="127"/>
      <c r="P69" s="127">
        <f t="shared" si="15"/>
        <v>80000</v>
      </c>
      <c r="Q69" s="225">
        <f t="shared" si="3"/>
        <v>0</v>
      </c>
      <c r="R69" s="228"/>
      <c r="S69" s="109"/>
    </row>
    <row r="70" spans="1:19" s="9" customFormat="1" ht="39" customHeight="1">
      <c r="A70" s="261" t="s">
        <v>202</v>
      </c>
      <c r="B70" s="261" t="s">
        <v>203</v>
      </c>
      <c r="C70" s="246" t="s">
        <v>47</v>
      </c>
      <c r="D70" s="111" t="s">
        <v>204</v>
      </c>
      <c r="E70" s="127">
        <f t="shared" si="18"/>
        <v>2955723</v>
      </c>
      <c r="F70" s="127"/>
      <c r="G70" s="127"/>
      <c r="H70" s="127"/>
      <c r="I70" s="127">
        <v>2955723</v>
      </c>
      <c r="J70" s="106">
        <f t="shared" si="17"/>
        <v>22490000</v>
      </c>
      <c r="K70" s="127">
        <v>22490000</v>
      </c>
      <c r="L70" s="127"/>
      <c r="M70" s="127"/>
      <c r="N70" s="127"/>
      <c r="O70" s="127">
        <v>22490000</v>
      </c>
      <c r="P70" s="127">
        <f>E70+J70</f>
        <v>25445723</v>
      </c>
      <c r="Q70" s="225">
        <f t="shared" si="3"/>
        <v>0</v>
      </c>
      <c r="R70" s="228"/>
      <c r="S70" s="17"/>
    </row>
    <row r="71" spans="1:19" s="9" customFormat="1" ht="26.25" customHeight="1">
      <c r="A71" s="261" t="s">
        <v>193</v>
      </c>
      <c r="B71" s="261" t="s">
        <v>66</v>
      </c>
      <c r="C71" s="249" t="s">
        <v>47</v>
      </c>
      <c r="D71" s="251" t="s">
        <v>194</v>
      </c>
      <c r="E71" s="127">
        <f t="shared" si="18"/>
        <v>116927210</v>
      </c>
      <c r="F71" s="106">
        <v>0</v>
      </c>
      <c r="G71" s="106"/>
      <c r="H71" s="106"/>
      <c r="I71" s="106">
        <f>(112293900+630000+1000000+1573310)+1430000</f>
        <v>116927210</v>
      </c>
      <c r="J71" s="106">
        <f t="shared" si="17"/>
        <v>6155051</v>
      </c>
      <c r="K71" s="127">
        <v>6155051</v>
      </c>
      <c r="L71" s="106"/>
      <c r="M71" s="106"/>
      <c r="N71" s="106"/>
      <c r="O71" s="127">
        <f>K71</f>
        <v>6155051</v>
      </c>
      <c r="P71" s="127">
        <f t="shared" si="15"/>
        <v>123082261</v>
      </c>
      <c r="Q71" s="225">
        <f t="shared" si="3"/>
        <v>0</v>
      </c>
      <c r="R71" s="228"/>
      <c r="S71" s="17"/>
    </row>
    <row r="72" spans="1:19" s="154" customFormat="1" ht="90" customHeight="1">
      <c r="A72" s="254" t="s">
        <v>214</v>
      </c>
      <c r="B72" s="254" t="s">
        <v>215</v>
      </c>
      <c r="C72" s="249" t="s">
        <v>213</v>
      </c>
      <c r="D72" s="251" t="s">
        <v>216</v>
      </c>
      <c r="E72" s="127">
        <f t="shared" si="18"/>
        <v>1217000</v>
      </c>
      <c r="F72" s="106"/>
      <c r="G72" s="106"/>
      <c r="H72" s="106"/>
      <c r="I72" s="106">
        <v>1217000</v>
      </c>
      <c r="J72" s="106">
        <f t="shared" si="17"/>
        <v>0</v>
      </c>
      <c r="K72" s="127"/>
      <c r="L72" s="106"/>
      <c r="M72" s="106"/>
      <c r="N72" s="106"/>
      <c r="O72" s="127"/>
      <c r="P72" s="127">
        <f t="shared" si="15"/>
        <v>1217000</v>
      </c>
      <c r="Q72" s="225">
        <f t="shared" si="3"/>
        <v>0</v>
      </c>
      <c r="R72" s="228"/>
      <c r="S72" s="109"/>
    </row>
    <row r="73" spans="1:19" s="154" customFormat="1" ht="32.25" customHeight="1">
      <c r="A73" s="254" t="s">
        <v>210</v>
      </c>
      <c r="B73" s="254" t="s">
        <v>211</v>
      </c>
      <c r="C73" s="249" t="s">
        <v>213</v>
      </c>
      <c r="D73" s="251" t="s">
        <v>212</v>
      </c>
      <c r="E73" s="127">
        <f t="shared" si="18"/>
        <v>1500000</v>
      </c>
      <c r="F73" s="106"/>
      <c r="G73" s="106"/>
      <c r="H73" s="106"/>
      <c r="I73" s="106">
        <f>1500000</f>
        <v>1500000</v>
      </c>
      <c r="J73" s="106">
        <f t="shared" si="17"/>
        <v>4000000</v>
      </c>
      <c r="K73" s="127">
        <v>4000000</v>
      </c>
      <c r="L73" s="106"/>
      <c r="M73" s="106"/>
      <c r="N73" s="106"/>
      <c r="O73" s="127">
        <v>4000000</v>
      </c>
      <c r="P73" s="127">
        <f t="shared" si="15"/>
        <v>5500000</v>
      </c>
      <c r="Q73" s="225">
        <f t="shared" si="3"/>
        <v>0</v>
      </c>
      <c r="R73" s="228"/>
      <c r="S73" s="109"/>
    </row>
    <row r="74" spans="1:19" s="154" customFormat="1" ht="32.25" customHeight="1">
      <c r="A74" s="254" t="s">
        <v>315</v>
      </c>
      <c r="B74" s="256" t="s">
        <v>5</v>
      </c>
      <c r="C74" s="256" t="s">
        <v>245</v>
      </c>
      <c r="D74" s="255" t="s">
        <v>6</v>
      </c>
      <c r="E74" s="127">
        <f t="shared" si="18"/>
        <v>1070000</v>
      </c>
      <c r="F74" s="106">
        <v>1070000</v>
      </c>
      <c r="G74" s="106"/>
      <c r="H74" s="106"/>
      <c r="I74" s="106"/>
      <c r="J74" s="106">
        <f t="shared" si="17"/>
        <v>80000</v>
      </c>
      <c r="K74" s="127"/>
      <c r="L74" s="106">
        <v>80000</v>
      </c>
      <c r="M74" s="106"/>
      <c r="N74" s="106"/>
      <c r="O74" s="127"/>
      <c r="P74" s="127">
        <f t="shared" si="15"/>
        <v>1150000</v>
      </c>
      <c r="Q74" s="225">
        <f t="shared" si="3"/>
        <v>0</v>
      </c>
      <c r="R74" s="228"/>
      <c r="S74" s="223"/>
    </row>
    <row r="75" spans="1:19" s="154" customFormat="1" ht="28.5" customHeight="1">
      <c r="A75" s="360" t="s">
        <v>0</v>
      </c>
      <c r="B75" s="360" t="s">
        <v>217</v>
      </c>
      <c r="C75" s="378" t="s">
        <v>192</v>
      </c>
      <c r="D75" s="111" t="s">
        <v>244</v>
      </c>
      <c r="E75" s="127">
        <f t="shared" si="18"/>
        <v>0</v>
      </c>
      <c r="F75" s="106"/>
      <c r="G75" s="106"/>
      <c r="H75" s="106"/>
      <c r="I75" s="106"/>
      <c r="J75" s="106">
        <f t="shared" si="17"/>
        <v>1214350</v>
      </c>
      <c r="K75" s="127">
        <v>1214350</v>
      </c>
      <c r="L75" s="106"/>
      <c r="M75" s="106"/>
      <c r="N75" s="106"/>
      <c r="O75" s="127">
        <v>1214350</v>
      </c>
      <c r="P75" s="127">
        <f t="shared" si="15"/>
        <v>1214350</v>
      </c>
      <c r="Q75" s="225">
        <f t="shared" si="3"/>
        <v>0</v>
      </c>
      <c r="R75" s="228"/>
      <c r="S75" s="109"/>
    </row>
    <row r="76" spans="1:19" s="154" customFormat="1" ht="42.75" customHeight="1">
      <c r="A76" s="359" t="s">
        <v>268</v>
      </c>
      <c r="B76" s="249" t="s">
        <v>219</v>
      </c>
      <c r="C76" s="249" t="s">
        <v>192</v>
      </c>
      <c r="D76" s="396" t="s">
        <v>313</v>
      </c>
      <c r="E76" s="127">
        <f t="shared" si="18"/>
        <v>0</v>
      </c>
      <c r="F76" s="106"/>
      <c r="G76" s="106"/>
      <c r="H76" s="106"/>
      <c r="I76" s="106"/>
      <c r="J76" s="106">
        <f>L76+O76</f>
        <v>1300356</v>
      </c>
      <c r="K76" s="127">
        <v>1300356</v>
      </c>
      <c r="L76" s="106"/>
      <c r="M76" s="106"/>
      <c r="N76" s="106"/>
      <c r="O76" s="127">
        <v>1300356</v>
      </c>
      <c r="P76" s="127">
        <f t="shared" si="15"/>
        <v>1300356</v>
      </c>
      <c r="Q76" s="225">
        <f t="shared" si="3"/>
        <v>0</v>
      </c>
      <c r="R76" s="228"/>
      <c r="S76" s="109"/>
    </row>
    <row r="77" spans="1:19" s="154" customFormat="1" ht="36.75" customHeight="1">
      <c r="A77" s="365" t="s">
        <v>353</v>
      </c>
      <c r="B77" s="366" t="s">
        <v>191</v>
      </c>
      <c r="C77" s="366" t="s">
        <v>192</v>
      </c>
      <c r="D77" s="367" t="s">
        <v>389</v>
      </c>
      <c r="E77" s="106">
        <f aca="true" t="shared" si="19" ref="E77:E83">F77+I77</f>
        <v>0</v>
      </c>
      <c r="F77" s="106"/>
      <c r="G77" s="106"/>
      <c r="H77" s="106"/>
      <c r="I77" s="106"/>
      <c r="J77" s="106">
        <f>L77+O77</f>
        <v>1040000</v>
      </c>
      <c r="K77" s="106">
        <f>O77</f>
        <v>1040000</v>
      </c>
      <c r="L77" s="106"/>
      <c r="M77" s="106"/>
      <c r="N77" s="106"/>
      <c r="O77" s="106">
        <f>590000+450000</f>
        <v>1040000</v>
      </c>
      <c r="P77" s="127">
        <f>E77+J77</f>
        <v>1040000</v>
      </c>
      <c r="Q77" s="225">
        <f aca="true" t="shared" si="20" ref="Q77:Q106">O77-K77</f>
        <v>0</v>
      </c>
      <c r="R77" s="228"/>
      <c r="S77" s="223"/>
    </row>
    <row r="78" spans="1:19" s="154" customFormat="1" ht="36.75" customHeight="1">
      <c r="A78" s="365" t="s">
        <v>457</v>
      </c>
      <c r="B78" s="366" t="s">
        <v>458</v>
      </c>
      <c r="C78" s="366" t="s">
        <v>192</v>
      </c>
      <c r="D78" s="367" t="s">
        <v>459</v>
      </c>
      <c r="E78" s="106">
        <f t="shared" si="19"/>
        <v>0</v>
      </c>
      <c r="F78" s="106"/>
      <c r="G78" s="106"/>
      <c r="H78" s="106"/>
      <c r="I78" s="106"/>
      <c r="J78" s="106">
        <f>L78+O78</f>
        <v>3000000</v>
      </c>
      <c r="K78" s="106">
        <v>3000000</v>
      </c>
      <c r="L78" s="106"/>
      <c r="M78" s="106"/>
      <c r="N78" s="106"/>
      <c r="O78" s="106">
        <v>3000000</v>
      </c>
      <c r="P78" s="127">
        <f>E78+J78</f>
        <v>3000000</v>
      </c>
      <c r="Q78" s="225">
        <f t="shared" si="20"/>
        <v>0</v>
      </c>
      <c r="R78" s="228"/>
      <c r="S78" s="223"/>
    </row>
    <row r="79" spans="1:19" s="154" customFormat="1" ht="45.75" customHeight="1">
      <c r="A79" s="359" t="s">
        <v>1</v>
      </c>
      <c r="B79" s="360" t="s">
        <v>2</v>
      </c>
      <c r="C79" s="360" t="s">
        <v>3</v>
      </c>
      <c r="D79" s="361" t="s">
        <v>4</v>
      </c>
      <c r="E79" s="106">
        <f t="shared" si="19"/>
        <v>0</v>
      </c>
      <c r="F79" s="106"/>
      <c r="G79" s="106"/>
      <c r="H79" s="106"/>
      <c r="I79" s="106"/>
      <c r="J79" s="106">
        <f>L79+O79</f>
        <v>200000</v>
      </c>
      <c r="K79" s="106">
        <v>200000</v>
      </c>
      <c r="L79" s="106"/>
      <c r="M79" s="106"/>
      <c r="N79" s="106"/>
      <c r="O79" s="106">
        <v>200000</v>
      </c>
      <c r="P79" s="127">
        <f>E79+J79</f>
        <v>200000</v>
      </c>
      <c r="Q79" s="225">
        <f t="shared" si="20"/>
        <v>0</v>
      </c>
      <c r="R79" s="228"/>
      <c r="S79" s="223"/>
    </row>
    <row r="80" spans="1:19" s="154" customFormat="1" ht="36.75" customHeight="1">
      <c r="A80" s="359" t="s">
        <v>352</v>
      </c>
      <c r="B80" s="360" t="s">
        <v>222</v>
      </c>
      <c r="C80" s="249" t="s">
        <v>48</v>
      </c>
      <c r="D80" s="237" t="s">
        <v>224</v>
      </c>
      <c r="E80" s="106">
        <f t="shared" si="19"/>
        <v>0</v>
      </c>
      <c r="F80" s="106"/>
      <c r="G80" s="106"/>
      <c r="H80" s="106"/>
      <c r="I80" s="106"/>
      <c r="J80" s="106">
        <f t="shared" si="17"/>
        <v>200000</v>
      </c>
      <c r="K80" s="106">
        <v>200000</v>
      </c>
      <c r="L80" s="106"/>
      <c r="M80" s="106"/>
      <c r="N80" s="106"/>
      <c r="O80" s="106">
        <v>200000</v>
      </c>
      <c r="P80" s="127">
        <f>E80+J80</f>
        <v>200000</v>
      </c>
      <c r="Q80" s="225">
        <f t="shared" si="20"/>
        <v>0</v>
      </c>
      <c r="R80" s="228"/>
      <c r="S80" s="109"/>
    </row>
    <row r="81" spans="1:19" s="154" customFormat="1" ht="32.25" customHeight="1">
      <c r="A81" s="359" t="s">
        <v>195</v>
      </c>
      <c r="B81" s="359" t="s">
        <v>196</v>
      </c>
      <c r="C81" s="249" t="s">
        <v>48</v>
      </c>
      <c r="D81" s="253" t="s">
        <v>197</v>
      </c>
      <c r="E81" s="127">
        <f t="shared" si="19"/>
        <v>500000</v>
      </c>
      <c r="F81" s="127"/>
      <c r="G81" s="127"/>
      <c r="H81" s="127"/>
      <c r="I81" s="127">
        <v>500000</v>
      </c>
      <c r="J81" s="106">
        <f t="shared" si="17"/>
        <v>0</v>
      </c>
      <c r="K81" s="127"/>
      <c r="L81" s="127"/>
      <c r="M81" s="127"/>
      <c r="N81" s="127"/>
      <c r="O81" s="127"/>
      <c r="P81" s="127">
        <f t="shared" si="15"/>
        <v>500000</v>
      </c>
      <c r="Q81" s="225">
        <f t="shared" si="20"/>
        <v>0</v>
      </c>
      <c r="R81" s="228"/>
      <c r="S81" s="109"/>
    </row>
    <row r="82" spans="1:19" s="154" customFormat="1" ht="32.25" customHeight="1">
      <c r="A82" s="359" t="s">
        <v>456</v>
      </c>
      <c r="B82" s="359" t="s">
        <v>454</v>
      </c>
      <c r="C82" s="249" t="s">
        <v>48</v>
      </c>
      <c r="D82" s="253" t="s">
        <v>455</v>
      </c>
      <c r="E82" s="127">
        <f t="shared" si="19"/>
        <v>0</v>
      </c>
      <c r="F82" s="127"/>
      <c r="G82" s="127"/>
      <c r="H82" s="127"/>
      <c r="I82" s="127"/>
      <c r="J82" s="106">
        <f t="shared" si="17"/>
        <v>9653200</v>
      </c>
      <c r="K82" s="127">
        <v>9653200</v>
      </c>
      <c r="L82" s="127"/>
      <c r="M82" s="127"/>
      <c r="N82" s="127"/>
      <c r="O82" s="127">
        <f>K82</f>
        <v>9653200</v>
      </c>
      <c r="P82" s="127">
        <f t="shared" si="15"/>
        <v>9653200</v>
      </c>
      <c r="Q82" s="225">
        <f t="shared" si="20"/>
        <v>0</v>
      </c>
      <c r="R82" s="228"/>
      <c r="S82" s="109"/>
    </row>
    <row r="83" spans="1:19" s="154" customFormat="1" ht="27" customHeight="1">
      <c r="A83" s="359" t="s">
        <v>199</v>
      </c>
      <c r="B83" s="359" t="s">
        <v>198</v>
      </c>
      <c r="C83" s="249" t="s">
        <v>200</v>
      </c>
      <c r="D83" s="251" t="s">
        <v>201</v>
      </c>
      <c r="E83" s="127">
        <f t="shared" si="19"/>
        <v>0</v>
      </c>
      <c r="F83" s="127"/>
      <c r="G83" s="127"/>
      <c r="H83" s="127"/>
      <c r="I83" s="127"/>
      <c r="J83" s="106">
        <f t="shared" si="17"/>
        <v>164600</v>
      </c>
      <c r="K83" s="127"/>
      <c r="L83" s="106"/>
      <c r="M83" s="127"/>
      <c r="N83" s="127"/>
      <c r="O83" s="127">
        <v>164600</v>
      </c>
      <c r="P83" s="127">
        <f t="shared" si="15"/>
        <v>164600</v>
      </c>
      <c r="Q83" s="225">
        <f t="shared" si="20"/>
        <v>164600</v>
      </c>
      <c r="R83" s="228"/>
      <c r="S83" s="109"/>
    </row>
    <row r="84" spans="1:19" s="153" customFormat="1" ht="31.5">
      <c r="A84" s="129" t="s">
        <v>32</v>
      </c>
      <c r="B84" s="129" t="s">
        <v>63</v>
      </c>
      <c r="C84" s="130"/>
      <c r="D84" s="128" t="s">
        <v>350</v>
      </c>
      <c r="E84" s="132">
        <f>F84+I84</f>
        <v>2950586</v>
      </c>
      <c r="F84" s="132">
        <f aca="true" t="shared" si="21" ref="F84:O84">F85</f>
        <v>2950586</v>
      </c>
      <c r="G84" s="132">
        <f t="shared" si="21"/>
        <v>2386300</v>
      </c>
      <c r="H84" s="132">
        <f t="shared" si="21"/>
        <v>39300</v>
      </c>
      <c r="I84" s="132">
        <f t="shared" si="21"/>
        <v>0</v>
      </c>
      <c r="J84" s="132">
        <f t="shared" si="21"/>
        <v>125257299</v>
      </c>
      <c r="K84" s="132">
        <f t="shared" si="21"/>
        <v>123799180</v>
      </c>
      <c r="L84" s="132">
        <f t="shared" si="21"/>
        <v>1458119</v>
      </c>
      <c r="M84" s="132">
        <f t="shared" si="21"/>
        <v>1175915</v>
      </c>
      <c r="N84" s="132">
        <f t="shared" si="21"/>
        <v>1100</v>
      </c>
      <c r="O84" s="132">
        <f t="shared" si="21"/>
        <v>123799180</v>
      </c>
      <c r="P84" s="132">
        <f t="shared" si="15"/>
        <v>128207885</v>
      </c>
      <c r="Q84" s="225">
        <f t="shared" si="20"/>
        <v>0</v>
      </c>
      <c r="R84" s="228"/>
      <c r="S84" s="109"/>
    </row>
    <row r="85" spans="1:19" s="153" customFormat="1" ht="31.5">
      <c r="A85" s="129" t="s">
        <v>37</v>
      </c>
      <c r="B85" s="129"/>
      <c r="C85" s="130"/>
      <c r="D85" s="128" t="s">
        <v>351</v>
      </c>
      <c r="E85" s="132">
        <f aca="true" t="shared" si="22" ref="E85:O85">SUM(E86:E98)</f>
        <v>2950586</v>
      </c>
      <c r="F85" s="132">
        <f t="shared" si="22"/>
        <v>2950586</v>
      </c>
      <c r="G85" s="132">
        <f t="shared" si="22"/>
        <v>2386300</v>
      </c>
      <c r="H85" s="132">
        <f t="shared" si="22"/>
        <v>39300</v>
      </c>
      <c r="I85" s="132">
        <f t="shared" si="22"/>
        <v>0</v>
      </c>
      <c r="J85" s="132">
        <f t="shared" si="22"/>
        <v>125257299</v>
      </c>
      <c r="K85" s="132">
        <f t="shared" si="22"/>
        <v>123799180</v>
      </c>
      <c r="L85" s="132">
        <f t="shared" si="22"/>
        <v>1458119</v>
      </c>
      <c r="M85" s="132">
        <f t="shared" si="22"/>
        <v>1175915</v>
      </c>
      <c r="N85" s="132">
        <f t="shared" si="22"/>
        <v>1100</v>
      </c>
      <c r="O85" s="132">
        <f t="shared" si="22"/>
        <v>123799180</v>
      </c>
      <c r="P85" s="132">
        <f t="shared" si="15"/>
        <v>128207885</v>
      </c>
      <c r="Q85" s="225">
        <f t="shared" si="20"/>
        <v>0</v>
      </c>
      <c r="R85" s="228"/>
      <c r="S85" s="109"/>
    </row>
    <row r="86" spans="1:19" s="154" customFormat="1" ht="47.25">
      <c r="A86" s="359" t="s">
        <v>159</v>
      </c>
      <c r="B86" s="359" t="s">
        <v>156</v>
      </c>
      <c r="C86" s="249" t="s">
        <v>35</v>
      </c>
      <c r="D86" s="169" t="s">
        <v>380</v>
      </c>
      <c r="E86" s="106">
        <f>F86+I86</f>
        <v>2950586</v>
      </c>
      <c r="F86" s="106">
        <v>2950586</v>
      </c>
      <c r="G86" s="106">
        <v>2386300</v>
      </c>
      <c r="H86" s="106">
        <f>2300+24000+13000</f>
        <v>39300</v>
      </c>
      <c r="I86" s="106"/>
      <c r="J86" s="127">
        <f>L86+O86</f>
        <v>1458119</v>
      </c>
      <c r="K86" s="127"/>
      <c r="L86" s="106">
        <v>1458119</v>
      </c>
      <c r="M86" s="106">
        <v>1175915</v>
      </c>
      <c r="N86" s="127">
        <v>1100</v>
      </c>
      <c r="O86" s="127"/>
      <c r="P86" s="127">
        <f>E86+J86</f>
        <v>4408705</v>
      </c>
      <c r="Q86" s="225">
        <f t="shared" si="20"/>
        <v>0</v>
      </c>
      <c r="R86" s="228"/>
      <c r="S86" s="109"/>
    </row>
    <row r="87" spans="1:19" s="154" customFormat="1" ht="15.75">
      <c r="A87" s="359" t="s">
        <v>517</v>
      </c>
      <c r="B87" s="359" t="s">
        <v>39</v>
      </c>
      <c r="C87" s="234" t="s">
        <v>247</v>
      </c>
      <c r="D87" s="361" t="s">
        <v>384</v>
      </c>
      <c r="E87" s="106"/>
      <c r="F87" s="106"/>
      <c r="G87" s="106"/>
      <c r="H87" s="106"/>
      <c r="I87" s="106"/>
      <c r="J87" s="127">
        <f>L87+O87</f>
        <v>170000</v>
      </c>
      <c r="K87" s="127">
        <f>O87</f>
        <v>170000</v>
      </c>
      <c r="L87" s="106"/>
      <c r="M87" s="106"/>
      <c r="N87" s="127"/>
      <c r="O87" s="127">
        <v>170000</v>
      </c>
      <c r="P87" s="127">
        <f>E87+J87</f>
        <v>170000</v>
      </c>
      <c r="Q87" s="225">
        <f t="shared" si="20"/>
        <v>0</v>
      </c>
      <c r="R87" s="228">
        <f>Q88+Q89-Q87</f>
        <v>0</v>
      </c>
      <c r="S87" s="109"/>
    </row>
    <row r="88" spans="1:19" s="154" customFormat="1" ht="31.5">
      <c r="A88" s="359" t="s">
        <v>518</v>
      </c>
      <c r="B88" s="359" t="s">
        <v>365</v>
      </c>
      <c r="C88" s="234" t="s">
        <v>246</v>
      </c>
      <c r="D88" s="361" t="s">
        <v>366</v>
      </c>
      <c r="E88" s="106"/>
      <c r="F88" s="106"/>
      <c r="G88" s="106"/>
      <c r="H88" s="106"/>
      <c r="I88" s="106"/>
      <c r="J88" s="127">
        <f>L88+O88</f>
        <v>6770000</v>
      </c>
      <c r="K88" s="127">
        <f aca="true" t="shared" si="23" ref="K88:K98">O88</f>
        <v>6770000</v>
      </c>
      <c r="L88" s="106"/>
      <c r="M88" s="106"/>
      <c r="N88" s="127"/>
      <c r="O88" s="127">
        <v>6770000</v>
      </c>
      <c r="P88" s="127">
        <f aca="true" t="shared" si="24" ref="P88:P98">E88+J88</f>
        <v>6770000</v>
      </c>
      <c r="Q88" s="225">
        <f t="shared" si="20"/>
        <v>0</v>
      </c>
      <c r="R88" s="228"/>
      <c r="S88" s="109"/>
    </row>
    <row r="89" spans="1:19" s="154" customFormat="1" ht="15.75">
      <c r="A89" s="359" t="s">
        <v>545</v>
      </c>
      <c r="B89" s="359" t="s">
        <v>388</v>
      </c>
      <c r="C89" s="249" t="s">
        <v>45</v>
      </c>
      <c r="D89" s="114" t="s">
        <v>453</v>
      </c>
      <c r="E89" s="106"/>
      <c r="F89" s="106"/>
      <c r="G89" s="106"/>
      <c r="H89" s="106"/>
      <c r="I89" s="106"/>
      <c r="J89" s="127">
        <f>L89+O89</f>
        <v>100000</v>
      </c>
      <c r="K89" s="127">
        <f t="shared" si="23"/>
        <v>100000</v>
      </c>
      <c r="L89" s="106"/>
      <c r="M89" s="106"/>
      <c r="N89" s="127"/>
      <c r="O89" s="127">
        <v>100000</v>
      </c>
      <c r="P89" s="127">
        <f t="shared" si="24"/>
        <v>100000</v>
      </c>
      <c r="Q89" s="225">
        <f t="shared" si="20"/>
        <v>0</v>
      </c>
      <c r="R89" s="228"/>
      <c r="S89" s="109"/>
    </row>
    <row r="90" spans="1:19" s="154" customFormat="1" ht="31.5">
      <c r="A90" s="359" t="s">
        <v>519</v>
      </c>
      <c r="B90" s="359" t="s">
        <v>65</v>
      </c>
      <c r="C90" s="249" t="s">
        <v>44</v>
      </c>
      <c r="D90" s="114" t="s">
        <v>173</v>
      </c>
      <c r="E90" s="106"/>
      <c r="F90" s="106"/>
      <c r="G90" s="106"/>
      <c r="H90" s="106"/>
      <c r="I90" s="106"/>
      <c r="J90" s="127">
        <f>L90+O90</f>
        <v>100000</v>
      </c>
      <c r="K90" s="127">
        <f t="shared" si="23"/>
        <v>100000</v>
      </c>
      <c r="L90" s="106"/>
      <c r="M90" s="106"/>
      <c r="N90" s="127"/>
      <c r="O90" s="127">
        <v>100000</v>
      </c>
      <c r="P90" s="127">
        <f t="shared" si="24"/>
        <v>100000</v>
      </c>
      <c r="Q90" s="225">
        <f t="shared" si="20"/>
        <v>0</v>
      </c>
      <c r="R90" s="228"/>
      <c r="S90" s="109"/>
    </row>
    <row r="91" spans="1:19" s="154" customFormat="1" ht="15.75">
      <c r="A91" s="359" t="s">
        <v>349</v>
      </c>
      <c r="B91" s="359" t="s">
        <v>66</v>
      </c>
      <c r="C91" s="249" t="s">
        <v>47</v>
      </c>
      <c r="D91" s="251" t="s">
        <v>194</v>
      </c>
      <c r="E91" s="106">
        <f>F91+I91</f>
        <v>0</v>
      </c>
      <c r="F91" s="106"/>
      <c r="G91" s="106"/>
      <c r="H91" s="106"/>
      <c r="I91" s="106"/>
      <c r="J91" s="127">
        <f aca="true" t="shared" si="25" ref="J91:J98">L91+O91</f>
        <v>13971537</v>
      </c>
      <c r="K91" s="127">
        <f t="shared" si="23"/>
        <v>13971537</v>
      </c>
      <c r="L91" s="106"/>
      <c r="M91" s="106"/>
      <c r="N91" s="127"/>
      <c r="O91" s="127">
        <v>13971537</v>
      </c>
      <c r="P91" s="127">
        <f t="shared" si="24"/>
        <v>13971537</v>
      </c>
      <c r="Q91" s="225">
        <f t="shared" si="20"/>
        <v>0</v>
      </c>
      <c r="R91" s="228"/>
      <c r="S91" s="223"/>
    </row>
    <row r="92" spans="1:19" s="154" customFormat="1" ht="15.75">
      <c r="A92" s="360" t="s">
        <v>356</v>
      </c>
      <c r="B92" s="360" t="s">
        <v>217</v>
      </c>
      <c r="C92" s="378" t="s">
        <v>192</v>
      </c>
      <c r="D92" s="111" t="s">
        <v>244</v>
      </c>
      <c r="E92" s="106">
        <f aca="true" t="shared" si="26" ref="E92:E98">F92+I92</f>
        <v>0</v>
      </c>
      <c r="F92" s="106"/>
      <c r="G92" s="106"/>
      <c r="H92" s="106"/>
      <c r="I92" s="106"/>
      <c r="J92" s="127">
        <f t="shared" si="25"/>
        <v>2500000</v>
      </c>
      <c r="K92" s="127">
        <f t="shared" si="23"/>
        <v>2500000</v>
      </c>
      <c r="L92" s="106"/>
      <c r="M92" s="106"/>
      <c r="N92" s="127"/>
      <c r="O92" s="127">
        <v>2500000</v>
      </c>
      <c r="P92" s="127">
        <f t="shared" si="24"/>
        <v>2500000</v>
      </c>
      <c r="Q92" s="225">
        <f t="shared" si="20"/>
        <v>0</v>
      </c>
      <c r="R92" s="228"/>
      <c r="S92" s="109"/>
    </row>
    <row r="93" spans="1:19" s="68" customFormat="1" ht="15.75">
      <c r="A93" s="450" t="s">
        <v>218</v>
      </c>
      <c r="B93" s="450" t="s">
        <v>231</v>
      </c>
      <c r="C93" s="249" t="s">
        <v>192</v>
      </c>
      <c r="D93" s="169" t="s">
        <v>221</v>
      </c>
      <c r="E93" s="106">
        <f t="shared" si="26"/>
        <v>0</v>
      </c>
      <c r="F93" s="127"/>
      <c r="G93" s="127"/>
      <c r="H93" s="127"/>
      <c r="I93" s="127"/>
      <c r="J93" s="127">
        <f t="shared" si="25"/>
        <v>8128724.999999999</v>
      </c>
      <c r="K93" s="127">
        <f t="shared" si="23"/>
        <v>8128724.999999999</v>
      </c>
      <c r="L93" s="127"/>
      <c r="M93" s="127"/>
      <c r="N93" s="127"/>
      <c r="O93" s="449">
        <v>8128724.999999999</v>
      </c>
      <c r="P93" s="127">
        <f t="shared" si="24"/>
        <v>8128724.999999999</v>
      </c>
      <c r="Q93" s="225">
        <f t="shared" si="20"/>
        <v>0</v>
      </c>
      <c r="R93" s="228">
        <v>8128724.999999999</v>
      </c>
      <c r="S93" s="109"/>
    </row>
    <row r="94" spans="1:19" s="68" customFormat="1" ht="15.75">
      <c r="A94" s="455" t="s">
        <v>548</v>
      </c>
      <c r="B94" s="455" t="s">
        <v>549</v>
      </c>
      <c r="C94" s="455" t="s">
        <v>192</v>
      </c>
      <c r="D94" s="456" t="s">
        <v>550</v>
      </c>
      <c r="E94" s="106">
        <f t="shared" si="26"/>
        <v>0</v>
      </c>
      <c r="F94" s="127"/>
      <c r="G94" s="127"/>
      <c r="H94" s="127"/>
      <c r="I94" s="127"/>
      <c r="J94" s="127">
        <f t="shared" si="25"/>
        <v>250000</v>
      </c>
      <c r="K94" s="127">
        <f>O94</f>
        <v>250000</v>
      </c>
      <c r="L94" s="127"/>
      <c r="M94" s="127"/>
      <c r="N94" s="127"/>
      <c r="O94" s="106">
        <v>250000</v>
      </c>
      <c r="P94" s="127">
        <f t="shared" si="24"/>
        <v>250000</v>
      </c>
      <c r="Q94" s="225">
        <f t="shared" si="20"/>
        <v>0</v>
      </c>
      <c r="R94" s="228"/>
      <c r="S94" s="109"/>
    </row>
    <row r="95" spans="1:19" ht="24.75" customHeight="1">
      <c r="A95" s="450" t="s">
        <v>220</v>
      </c>
      <c r="B95" s="249" t="s">
        <v>219</v>
      </c>
      <c r="C95" s="249" t="s">
        <v>192</v>
      </c>
      <c r="D95" s="356" t="s">
        <v>348</v>
      </c>
      <c r="E95" s="106">
        <f>F95+I95</f>
        <v>0</v>
      </c>
      <c r="F95" s="127"/>
      <c r="G95" s="127"/>
      <c r="H95" s="127"/>
      <c r="I95" s="127"/>
      <c r="J95" s="127">
        <f t="shared" si="25"/>
        <v>28478646</v>
      </c>
      <c r="K95" s="127">
        <f t="shared" si="23"/>
        <v>28478646</v>
      </c>
      <c r="L95" s="127"/>
      <c r="M95" s="127"/>
      <c r="N95" s="127"/>
      <c r="O95" s="127">
        <v>28478646</v>
      </c>
      <c r="P95" s="127">
        <f t="shared" si="24"/>
        <v>28478646</v>
      </c>
      <c r="Q95" s="225">
        <f t="shared" si="20"/>
        <v>0</v>
      </c>
      <c r="R95" s="228"/>
      <c r="S95" s="109"/>
    </row>
    <row r="96" spans="1:19" ht="24.75" customHeight="1">
      <c r="A96" s="359" t="s">
        <v>520</v>
      </c>
      <c r="B96" s="249" t="s">
        <v>521</v>
      </c>
      <c r="C96" s="249" t="s">
        <v>192</v>
      </c>
      <c r="D96" s="377" t="s">
        <v>501</v>
      </c>
      <c r="E96" s="106"/>
      <c r="F96" s="127"/>
      <c r="G96" s="127"/>
      <c r="H96" s="127"/>
      <c r="I96" s="127"/>
      <c r="J96" s="127">
        <f t="shared" si="25"/>
        <v>838700</v>
      </c>
      <c r="K96" s="127">
        <f t="shared" si="23"/>
        <v>838700</v>
      </c>
      <c r="L96" s="127"/>
      <c r="M96" s="127"/>
      <c r="N96" s="127"/>
      <c r="O96" s="127">
        <v>838700</v>
      </c>
      <c r="P96" s="127">
        <f t="shared" si="24"/>
        <v>838700</v>
      </c>
      <c r="Q96" s="225">
        <f t="shared" si="20"/>
        <v>0</v>
      </c>
      <c r="R96" s="228"/>
      <c r="S96" s="109"/>
    </row>
    <row r="97" spans="1:19" s="68" customFormat="1" ht="15.75">
      <c r="A97" s="359" t="s">
        <v>471</v>
      </c>
      <c r="B97" s="359" t="s">
        <v>472</v>
      </c>
      <c r="C97" s="249" t="s">
        <v>3</v>
      </c>
      <c r="D97" s="114" t="s">
        <v>502</v>
      </c>
      <c r="E97" s="106">
        <f t="shared" si="26"/>
        <v>0</v>
      </c>
      <c r="F97" s="127"/>
      <c r="G97" s="127"/>
      <c r="H97" s="127"/>
      <c r="I97" s="127"/>
      <c r="J97" s="127">
        <f t="shared" si="25"/>
        <v>10450000</v>
      </c>
      <c r="K97" s="127">
        <f t="shared" si="23"/>
        <v>10450000</v>
      </c>
      <c r="L97" s="127"/>
      <c r="M97" s="127"/>
      <c r="N97" s="127"/>
      <c r="O97" s="106">
        <v>10450000</v>
      </c>
      <c r="P97" s="127">
        <f t="shared" si="24"/>
        <v>10450000</v>
      </c>
      <c r="Q97" s="225">
        <f t="shared" si="20"/>
        <v>0</v>
      </c>
      <c r="R97" s="228"/>
      <c r="S97" s="109"/>
    </row>
    <row r="98" spans="1:19" s="68" customFormat="1" ht="31.5">
      <c r="A98" s="359" t="s">
        <v>473</v>
      </c>
      <c r="B98" s="359" t="s">
        <v>2</v>
      </c>
      <c r="C98" s="249" t="s">
        <v>3</v>
      </c>
      <c r="D98" s="361" t="s">
        <v>4</v>
      </c>
      <c r="E98" s="106">
        <f t="shared" si="26"/>
        <v>0</v>
      </c>
      <c r="F98" s="127"/>
      <c r="G98" s="127"/>
      <c r="H98" s="127"/>
      <c r="I98" s="127"/>
      <c r="J98" s="127">
        <f t="shared" si="25"/>
        <v>52041572</v>
      </c>
      <c r="K98" s="127">
        <f t="shared" si="23"/>
        <v>52041572</v>
      </c>
      <c r="L98" s="127"/>
      <c r="M98" s="127"/>
      <c r="N98" s="127"/>
      <c r="O98" s="127">
        <f>33256072+18785500</f>
        <v>52041572</v>
      </c>
      <c r="P98" s="127">
        <f t="shared" si="24"/>
        <v>52041572</v>
      </c>
      <c r="Q98" s="225">
        <f t="shared" si="20"/>
        <v>0</v>
      </c>
      <c r="R98" s="228"/>
      <c r="S98" s="109"/>
    </row>
    <row r="99" spans="1:19" s="153" customFormat="1" ht="31.5">
      <c r="A99" s="129" t="s">
        <v>160</v>
      </c>
      <c r="B99" s="129" t="s">
        <v>161</v>
      </c>
      <c r="C99" s="135"/>
      <c r="D99" s="125" t="s">
        <v>279</v>
      </c>
      <c r="E99" s="132">
        <f>E100</f>
        <v>29606200</v>
      </c>
      <c r="F99" s="132">
        <f aca="true" t="shared" si="27" ref="F99:O99">F100</f>
        <v>29506200</v>
      </c>
      <c r="G99" s="132">
        <f t="shared" si="27"/>
        <v>4045000</v>
      </c>
      <c r="H99" s="132">
        <f t="shared" si="27"/>
        <v>74000</v>
      </c>
      <c r="I99" s="132">
        <f t="shared" si="27"/>
        <v>0</v>
      </c>
      <c r="J99" s="132">
        <f>J100</f>
        <v>50000</v>
      </c>
      <c r="K99" s="132">
        <f t="shared" si="27"/>
        <v>0</v>
      </c>
      <c r="L99" s="132">
        <f t="shared" si="27"/>
        <v>50000</v>
      </c>
      <c r="M99" s="132">
        <f t="shared" si="27"/>
        <v>0</v>
      </c>
      <c r="N99" s="132">
        <f t="shared" si="27"/>
        <v>0</v>
      </c>
      <c r="O99" s="132">
        <f t="shared" si="27"/>
        <v>0</v>
      </c>
      <c r="P99" s="132">
        <f aca="true" t="shared" si="28" ref="P99:P104">E99+J99</f>
        <v>29656200</v>
      </c>
      <c r="Q99" s="225">
        <f t="shared" si="20"/>
        <v>0</v>
      </c>
      <c r="R99" s="228"/>
      <c r="S99" s="109"/>
    </row>
    <row r="100" spans="1:19" s="153" customFormat="1" ht="31.5">
      <c r="A100" s="129" t="s">
        <v>162</v>
      </c>
      <c r="B100" s="129"/>
      <c r="C100" s="135"/>
      <c r="D100" s="125" t="s">
        <v>280</v>
      </c>
      <c r="E100" s="132">
        <f aca="true" t="shared" si="29" ref="E100:P100">SUM(E101:E105)</f>
        <v>29606200</v>
      </c>
      <c r="F100" s="132">
        <f t="shared" si="29"/>
        <v>29506200</v>
      </c>
      <c r="G100" s="132">
        <f t="shared" si="29"/>
        <v>4045000</v>
      </c>
      <c r="H100" s="132">
        <f t="shared" si="29"/>
        <v>74000</v>
      </c>
      <c r="I100" s="132">
        <f t="shared" si="29"/>
        <v>0</v>
      </c>
      <c r="J100" s="132">
        <f t="shared" si="29"/>
        <v>50000</v>
      </c>
      <c r="K100" s="132">
        <f t="shared" si="29"/>
        <v>0</v>
      </c>
      <c r="L100" s="132">
        <f t="shared" si="29"/>
        <v>50000</v>
      </c>
      <c r="M100" s="132">
        <f t="shared" si="29"/>
        <v>0</v>
      </c>
      <c r="N100" s="132">
        <f t="shared" si="29"/>
        <v>0</v>
      </c>
      <c r="O100" s="132">
        <f t="shared" si="29"/>
        <v>0</v>
      </c>
      <c r="P100" s="132">
        <f t="shared" si="29"/>
        <v>29656200</v>
      </c>
      <c r="Q100" s="225">
        <f t="shared" si="20"/>
        <v>0</v>
      </c>
      <c r="R100" s="228"/>
      <c r="S100" s="109"/>
    </row>
    <row r="101" spans="1:19" s="154" customFormat="1" ht="47.25">
      <c r="A101" s="359" t="s">
        <v>163</v>
      </c>
      <c r="B101" s="359" t="s">
        <v>156</v>
      </c>
      <c r="C101" s="249" t="s">
        <v>35</v>
      </c>
      <c r="D101" s="148" t="s">
        <v>380</v>
      </c>
      <c r="E101" s="106">
        <f>F101+I101</f>
        <v>5185000</v>
      </c>
      <c r="F101" s="106">
        <v>5185000</v>
      </c>
      <c r="G101" s="106">
        <v>4045000</v>
      </c>
      <c r="H101" s="106">
        <v>74000</v>
      </c>
      <c r="I101" s="106"/>
      <c r="J101" s="127">
        <f>L101+O101</f>
        <v>0</v>
      </c>
      <c r="K101" s="127"/>
      <c r="L101" s="127"/>
      <c r="M101" s="127"/>
      <c r="N101" s="127"/>
      <c r="O101" s="127"/>
      <c r="P101" s="127">
        <f t="shared" si="28"/>
        <v>5185000</v>
      </c>
      <c r="Q101" s="225">
        <f t="shared" si="20"/>
        <v>0</v>
      </c>
      <c r="R101" s="228"/>
      <c r="S101" s="109"/>
    </row>
    <row r="102" spans="1:19" s="154" customFormat="1" ht="15.75">
      <c r="A102" s="359" t="s">
        <v>319</v>
      </c>
      <c r="B102" s="359" t="s">
        <v>320</v>
      </c>
      <c r="C102" s="360" t="s">
        <v>321</v>
      </c>
      <c r="D102" s="364" t="s">
        <v>355</v>
      </c>
      <c r="E102" s="106">
        <f>F102+I102</f>
        <v>5730900</v>
      </c>
      <c r="F102" s="106">
        <v>5730900</v>
      </c>
      <c r="G102" s="106"/>
      <c r="H102" s="106"/>
      <c r="I102" s="106"/>
      <c r="J102" s="127">
        <f>L102+O102</f>
        <v>0</v>
      </c>
      <c r="K102" s="127"/>
      <c r="L102" s="127"/>
      <c r="M102" s="127"/>
      <c r="N102" s="127"/>
      <c r="O102" s="127"/>
      <c r="P102" s="127">
        <f t="shared" si="28"/>
        <v>5730900</v>
      </c>
      <c r="Q102" s="225">
        <f t="shared" si="20"/>
        <v>0</v>
      </c>
      <c r="R102" s="228"/>
      <c r="S102" s="109"/>
    </row>
    <row r="103" spans="1:19" s="154" customFormat="1" ht="15.75">
      <c r="A103" s="359" t="s">
        <v>460</v>
      </c>
      <c r="B103" s="359" t="s">
        <v>461</v>
      </c>
      <c r="C103" s="234" t="s">
        <v>42</v>
      </c>
      <c r="D103" s="361" t="s">
        <v>462</v>
      </c>
      <c r="E103" s="106">
        <v>100000</v>
      </c>
      <c r="F103" s="106"/>
      <c r="G103" s="122"/>
      <c r="H103" s="122"/>
      <c r="I103" s="122"/>
      <c r="J103" s="127">
        <f>L103+O103</f>
        <v>0</v>
      </c>
      <c r="K103" s="127"/>
      <c r="L103" s="127"/>
      <c r="M103" s="127"/>
      <c r="N103" s="127"/>
      <c r="O103" s="127"/>
      <c r="P103" s="127">
        <f t="shared" si="28"/>
        <v>100000</v>
      </c>
      <c r="Q103" s="225">
        <f t="shared" si="20"/>
        <v>0</v>
      </c>
      <c r="R103" s="228"/>
      <c r="S103" s="109"/>
    </row>
    <row r="104" spans="1:19" s="154" customFormat="1" ht="102.75" customHeight="1">
      <c r="A104" s="359" t="s">
        <v>428</v>
      </c>
      <c r="B104" s="359" t="s">
        <v>10</v>
      </c>
      <c r="C104" s="234" t="s">
        <v>48</v>
      </c>
      <c r="D104" s="361" t="s">
        <v>238</v>
      </c>
      <c r="E104" s="106">
        <f>F104+I104</f>
        <v>0</v>
      </c>
      <c r="F104" s="106"/>
      <c r="G104" s="122"/>
      <c r="H104" s="122"/>
      <c r="I104" s="122"/>
      <c r="J104" s="127">
        <f>K104+L104</f>
        <v>50000</v>
      </c>
      <c r="K104" s="127"/>
      <c r="L104" s="127">
        <v>50000</v>
      </c>
      <c r="M104" s="127"/>
      <c r="N104" s="127"/>
      <c r="O104" s="127"/>
      <c r="P104" s="127">
        <f t="shared" si="28"/>
        <v>50000</v>
      </c>
      <c r="Q104" s="225">
        <f t="shared" si="20"/>
        <v>0</v>
      </c>
      <c r="R104" s="228"/>
      <c r="S104" s="109"/>
    </row>
    <row r="105" spans="1:19" s="154" customFormat="1" ht="15.75">
      <c r="A105" s="359" t="s">
        <v>225</v>
      </c>
      <c r="B105" s="359" t="s">
        <v>164</v>
      </c>
      <c r="C105" s="234" t="s">
        <v>51</v>
      </c>
      <c r="D105" s="361" t="s">
        <v>52</v>
      </c>
      <c r="E105" s="106">
        <f>F105+I105</f>
        <v>18590300</v>
      </c>
      <c r="F105" s="127">
        <v>18590300</v>
      </c>
      <c r="G105" s="136"/>
      <c r="H105" s="136"/>
      <c r="I105" s="136"/>
      <c r="J105" s="127">
        <f>L105+O105</f>
        <v>0</v>
      </c>
      <c r="K105" s="136"/>
      <c r="L105" s="136"/>
      <c r="M105" s="136"/>
      <c r="N105" s="136"/>
      <c r="O105" s="136"/>
      <c r="P105" s="127">
        <f>E105+J105</f>
        <v>18590300</v>
      </c>
      <c r="Q105" s="225">
        <f t="shared" si="20"/>
        <v>0</v>
      </c>
      <c r="R105" s="228"/>
      <c r="S105" s="109"/>
    </row>
    <row r="106" spans="1:19" s="153" customFormat="1" ht="15.75">
      <c r="A106" s="137"/>
      <c r="B106" s="137"/>
      <c r="C106" s="137"/>
      <c r="D106" s="226" t="s">
        <v>53</v>
      </c>
      <c r="E106" s="138">
        <f aca="true" t="shared" si="30" ref="E106:P106">E12+E28+E55+E65+E84+E99</f>
        <v>1029800091</v>
      </c>
      <c r="F106" s="138">
        <f t="shared" si="30"/>
        <v>906600158</v>
      </c>
      <c r="G106" s="138">
        <f t="shared" si="30"/>
        <v>562482979</v>
      </c>
      <c r="H106" s="138">
        <f t="shared" si="30"/>
        <v>57830886</v>
      </c>
      <c r="I106" s="138">
        <f t="shared" si="30"/>
        <v>123099933</v>
      </c>
      <c r="J106" s="138">
        <f t="shared" si="30"/>
        <v>238769010</v>
      </c>
      <c r="K106" s="138">
        <f t="shared" si="30"/>
        <v>186227205</v>
      </c>
      <c r="L106" s="138">
        <f t="shared" si="30"/>
        <v>50695005</v>
      </c>
      <c r="M106" s="138">
        <f t="shared" si="30"/>
        <v>10564502</v>
      </c>
      <c r="N106" s="138">
        <f t="shared" si="30"/>
        <v>2463297</v>
      </c>
      <c r="O106" s="138">
        <f t="shared" si="30"/>
        <v>188074005</v>
      </c>
      <c r="P106" s="138">
        <f t="shared" si="30"/>
        <v>1268569101</v>
      </c>
      <c r="Q106" s="225">
        <f t="shared" si="20"/>
        <v>1846800</v>
      </c>
      <c r="R106" s="228"/>
      <c r="S106" s="109"/>
    </row>
    <row r="107" spans="1:19" ht="35.25" customHeight="1">
      <c r="A107" s="83"/>
      <c r="B107" s="83"/>
      <c r="C107" s="134"/>
      <c r="D107" s="199"/>
      <c r="E107" s="200"/>
      <c r="F107" s="201"/>
      <c r="G107" s="201"/>
      <c r="H107" s="202"/>
      <c r="I107" s="201"/>
      <c r="J107" s="203"/>
      <c r="K107" s="202"/>
      <c r="L107" s="202"/>
      <c r="M107" s="202"/>
      <c r="N107" s="201"/>
      <c r="O107" s="201"/>
      <c r="P107" s="201"/>
      <c r="R107" s="109">
        <f>K106-O106</f>
        <v>-1846800</v>
      </c>
      <c r="S107" s="109"/>
    </row>
    <row r="108" spans="4:19" ht="35.25" customHeight="1">
      <c r="D108" s="471" t="s">
        <v>569</v>
      </c>
      <c r="E108" s="471"/>
      <c r="F108" s="471"/>
      <c r="G108" s="471"/>
      <c r="H108" s="9"/>
      <c r="I108" s="109"/>
      <c r="J108" s="212"/>
      <c r="K108" s="9" t="s">
        <v>570</v>
      </c>
      <c r="L108" s="109"/>
      <c r="M108" s="109"/>
      <c r="N108" s="109"/>
      <c r="P108" s="109"/>
      <c r="R108" s="109">
        <f>R107+O25+O46+O48+O83</f>
        <v>0</v>
      </c>
      <c r="S108" s="109"/>
    </row>
    <row r="109" spans="4:16" ht="35.25" customHeight="1">
      <c r="D109" s="204"/>
      <c r="E109" s="200"/>
      <c r="F109" s="201"/>
      <c r="G109" s="201"/>
      <c r="H109" s="202"/>
      <c r="I109" s="201"/>
      <c r="J109" s="205"/>
      <c r="K109" s="202"/>
      <c r="L109" s="201"/>
      <c r="M109" s="201"/>
      <c r="N109" s="201"/>
      <c r="O109" s="201"/>
      <c r="P109" s="202"/>
    </row>
    <row r="110" spans="4:16" ht="15.75">
      <c r="D110" s="204"/>
      <c r="E110" s="200"/>
      <c r="F110" s="201"/>
      <c r="G110" s="201"/>
      <c r="H110" s="201"/>
      <c r="I110" s="201"/>
      <c r="J110" s="205"/>
      <c r="K110" s="206">
        <f>'dod 5'!J82+'dod 6.'!J73</f>
        <v>183827137</v>
      </c>
      <c r="L110" s="201"/>
      <c r="M110" s="201"/>
      <c r="N110" s="202">
        <f>'dod 2'!F16</f>
        <v>-85240350</v>
      </c>
      <c r="O110" s="202">
        <f>'dod 2'!F15</f>
        <v>17088325</v>
      </c>
      <c r="P110" s="202">
        <f>'dod 1 '!C111-'dod 3'!P106</f>
        <v>68152025</v>
      </c>
    </row>
    <row r="111" spans="4:16" ht="15.75">
      <c r="D111" s="204"/>
      <c r="E111" s="205"/>
      <c r="F111" s="201"/>
      <c r="G111" s="201"/>
      <c r="H111" s="201"/>
      <c r="I111" s="201"/>
      <c r="J111" s="205"/>
      <c r="K111" s="206">
        <f>K106-K110</f>
        <v>2400068</v>
      </c>
      <c r="L111" s="201"/>
      <c r="M111" s="201"/>
      <c r="N111" s="202"/>
      <c r="O111" s="201"/>
      <c r="P111" s="206"/>
    </row>
    <row r="112" spans="4:16" ht="15.75">
      <c r="D112" s="204"/>
      <c r="E112" s="205">
        <f>E106-E105-E41-E35</f>
        <v>1007955891</v>
      </c>
      <c r="F112" s="206"/>
      <c r="G112" s="201"/>
      <c r="H112" s="206"/>
      <c r="I112" s="201"/>
      <c r="J112" s="205"/>
      <c r="K112" s="206"/>
      <c r="L112" s="201"/>
      <c r="M112" s="201"/>
      <c r="N112" s="201"/>
      <c r="O112" s="201"/>
      <c r="P112" s="206">
        <f>N110+O110+P110</f>
        <v>0</v>
      </c>
    </row>
    <row r="113" spans="4:16" ht="15.75">
      <c r="D113" s="204"/>
      <c r="E113" s="207"/>
      <c r="F113" s="206"/>
      <c r="G113" s="201"/>
      <c r="H113" s="206"/>
      <c r="I113" s="201"/>
      <c r="J113" s="205"/>
      <c r="K113" s="206"/>
      <c r="L113" s="201"/>
      <c r="M113" s="201"/>
      <c r="N113" s="201"/>
      <c r="O113" s="201"/>
      <c r="P113" s="201"/>
    </row>
    <row r="114" spans="4:16" ht="15.75">
      <c r="D114" s="204"/>
      <c r="E114" s="208"/>
      <c r="F114" s="201"/>
      <c r="G114" s="201"/>
      <c r="H114" s="206"/>
      <c r="I114" s="201"/>
      <c r="J114" s="205"/>
      <c r="K114" s="201"/>
      <c r="L114" s="202"/>
      <c r="M114" s="201"/>
      <c r="N114" s="201"/>
      <c r="O114" s="201"/>
      <c r="P114" s="206"/>
    </row>
    <row r="115" spans="4:16" ht="15.75">
      <c r="D115" s="204"/>
      <c r="E115" s="208"/>
      <c r="F115" s="206"/>
      <c r="G115" s="201"/>
      <c r="H115" s="201"/>
      <c r="I115" s="201"/>
      <c r="J115" s="203"/>
      <c r="K115" s="201"/>
      <c r="L115" s="202"/>
      <c r="M115" s="201"/>
      <c r="N115" s="201"/>
      <c r="O115" s="201"/>
      <c r="P115" s="206"/>
    </row>
    <row r="116" spans="4:16" ht="15.75">
      <c r="D116" s="204"/>
      <c r="E116" s="209"/>
      <c r="F116" s="201"/>
      <c r="G116" s="201"/>
      <c r="H116" s="201"/>
      <c r="I116" s="201"/>
      <c r="J116" s="200"/>
      <c r="K116" s="201"/>
      <c r="L116" s="202"/>
      <c r="M116" s="201"/>
      <c r="N116" s="201"/>
      <c r="O116" s="201"/>
      <c r="P116" s="206"/>
    </row>
    <row r="117" spans="4:16" ht="15.75">
      <c r="D117" s="204"/>
      <c r="E117" s="210"/>
      <c r="F117" s="201"/>
      <c r="G117" s="201"/>
      <c r="H117" s="201"/>
      <c r="I117" s="201"/>
      <c r="J117" s="203"/>
      <c r="K117" s="201"/>
      <c r="L117" s="202"/>
      <c r="M117" s="201"/>
      <c r="N117" s="201"/>
      <c r="O117" s="201"/>
      <c r="P117" s="201"/>
    </row>
    <row r="118" ht="15.75">
      <c r="E118" s="88"/>
    </row>
    <row r="119" ht="15.75">
      <c r="E119" s="26"/>
    </row>
  </sheetData>
  <sheetProtection/>
  <autoFilter ref="A11:S106"/>
  <mergeCells count="26">
    <mergeCell ref="L2:P2"/>
    <mergeCell ref="D5:E5"/>
    <mergeCell ref="J7:O7"/>
    <mergeCell ref="G9:G10"/>
    <mergeCell ref="E7:I7"/>
    <mergeCell ref="D108:G108"/>
    <mergeCell ref="A7:A10"/>
    <mergeCell ref="B7:B10"/>
    <mergeCell ref="G8:H8"/>
    <mergeCell ref="A3:P3"/>
    <mergeCell ref="L8:L10"/>
    <mergeCell ref="M9:M10"/>
    <mergeCell ref="I8:I10"/>
    <mergeCell ref="D7:D10"/>
    <mergeCell ref="N9:N10"/>
    <mergeCell ref="E8:E10"/>
    <mergeCell ref="C7:C10"/>
    <mergeCell ref="F8:F10"/>
    <mergeCell ref="H9:H10"/>
    <mergeCell ref="K8:K10"/>
    <mergeCell ref="M8:N8"/>
    <mergeCell ref="L1:P1"/>
    <mergeCell ref="P7:P10"/>
    <mergeCell ref="J8:J10"/>
    <mergeCell ref="O8:O10"/>
    <mergeCell ref="A4:P4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60" zoomScalePageLayoutView="0" workbookViewId="0" topLeftCell="A4">
      <selection activeCell="A39" sqref="A39:IV39"/>
    </sheetView>
  </sheetViews>
  <sheetFormatPr defaultColWidth="9.00390625" defaultRowHeight="12.75"/>
  <cols>
    <col min="1" max="1" width="9.125" style="312" customWidth="1"/>
    <col min="2" max="3" width="20.75390625" style="312" customWidth="1"/>
    <col min="4" max="4" width="28.375" style="312" customWidth="1"/>
    <col min="5" max="5" width="20.75390625" style="312" customWidth="1"/>
    <col min="6" max="16384" width="9.125" style="312" customWidth="1"/>
  </cols>
  <sheetData>
    <row r="1" spans="2:7" ht="16.5" customHeight="1">
      <c r="B1" s="311"/>
      <c r="D1" s="495" t="s">
        <v>566</v>
      </c>
      <c r="E1" s="495"/>
      <c r="F1" s="495"/>
      <c r="G1" s="495"/>
    </row>
    <row r="2" spans="4:7" ht="19.5" customHeight="1">
      <c r="D2" s="495"/>
      <c r="E2" s="495"/>
      <c r="F2" s="495"/>
      <c r="G2" s="495"/>
    </row>
    <row r="3" spans="4:7" ht="28.5" customHeight="1">
      <c r="D3" s="495"/>
      <c r="E3" s="495"/>
      <c r="F3" s="495"/>
      <c r="G3" s="495"/>
    </row>
    <row r="4" spans="4:9" ht="25.5" customHeight="1">
      <c r="D4" s="313"/>
      <c r="E4" s="493"/>
      <c r="F4" s="493"/>
      <c r="G4" s="493"/>
      <c r="H4" s="493"/>
      <c r="I4" s="493"/>
    </row>
    <row r="5" spans="2:5" s="314" customFormat="1" ht="18.75">
      <c r="B5" s="499" t="s">
        <v>400</v>
      </c>
      <c r="C5" s="500"/>
      <c r="D5" s="500"/>
      <c r="E5" s="500"/>
    </row>
    <row r="6" spans="2:5" ht="12.75">
      <c r="B6" s="501" t="s">
        <v>288</v>
      </c>
      <c r="C6" s="502"/>
      <c r="D6" s="502"/>
      <c r="E6" s="502"/>
    </row>
    <row r="7" spans="2:5" ht="12.75">
      <c r="B7" s="502" t="s">
        <v>270</v>
      </c>
      <c r="C7" s="502"/>
      <c r="D7" s="502"/>
      <c r="E7" s="502"/>
    </row>
    <row r="8" s="316" customFormat="1" ht="21.75" customHeight="1">
      <c r="B8" s="315" t="s">
        <v>523</v>
      </c>
    </row>
    <row r="9" ht="12.75">
      <c r="E9" s="313" t="s">
        <v>524</v>
      </c>
    </row>
    <row r="10" spans="2:5" s="319" customFormat="1" ht="38.25">
      <c r="B10" s="317" t="s">
        <v>525</v>
      </c>
      <c r="C10" s="503" t="s">
        <v>526</v>
      </c>
      <c r="D10" s="504"/>
      <c r="E10" s="318" t="s">
        <v>232</v>
      </c>
    </row>
    <row r="11" spans="2:5" ht="12.75">
      <c r="B11" s="320">
        <v>1</v>
      </c>
      <c r="C11" s="505">
        <v>2</v>
      </c>
      <c r="D11" s="506"/>
      <c r="E11" s="321">
        <v>3</v>
      </c>
    </row>
    <row r="12" spans="2:5" s="322" customFormat="1" ht="15.75">
      <c r="B12" s="507" t="s">
        <v>527</v>
      </c>
      <c r="C12" s="507"/>
      <c r="D12" s="507"/>
      <c r="E12" s="507"/>
    </row>
    <row r="13" spans="2:5" ht="25.5">
      <c r="B13" s="323" t="s">
        <v>528</v>
      </c>
      <c r="C13" s="324" t="s">
        <v>529</v>
      </c>
      <c r="D13" s="325"/>
      <c r="E13" s="326">
        <f>E14</f>
        <v>291370800</v>
      </c>
    </row>
    <row r="14" spans="2:5" ht="12.75">
      <c r="B14" s="327" t="s">
        <v>530</v>
      </c>
      <c r="C14" s="328" t="s">
        <v>531</v>
      </c>
      <c r="D14" s="329"/>
      <c r="E14" s="330">
        <v>291370800</v>
      </c>
    </row>
    <row r="15" spans="2:5" ht="38.25">
      <c r="B15" s="323" t="s">
        <v>532</v>
      </c>
      <c r="C15" s="324" t="s">
        <v>253</v>
      </c>
      <c r="D15" s="325"/>
      <c r="E15" s="326">
        <f>E16</f>
        <v>3253900</v>
      </c>
    </row>
    <row r="16" spans="2:5" ht="12.75">
      <c r="B16" s="327" t="s">
        <v>533</v>
      </c>
      <c r="C16" s="328" t="s">
        <v>534</v>
      </c>
      <c r="D16" s="329"/>
      <c r="E16" s="330">
        <v>3253900</v>
      </c>
    </row>
    <row r="17" spans="2:5" ht="38.25">
      <c r="B17" s="323" t="s">
        <v>535</v>
      </c>
      <c r="C17" s="324" t="s">
        <v>254</v>
      </c>
      <c r="D17" s="325"/>
      <c r="E17" s="326">
        <f>E18</f>
        <v>2676500</v>
      </c>
    </row>
    <row r="18" spans="2:5" ht="12.75">
      <c r="B18" s="327" t="s">
        <v>533</v>
      </c>
      <c r="C18" s="328" t="s">
        <v>534</v>
      </c>
      <c r="D18" s="329"/>
      <c r="E18" s="330">
        <v>2676500</v>
      </c>
    </row>
    <row r="19" spans="2:5" s="316" customFormat="1" ht="15.75">
      <c r="B19" s="508" t="s">
        <v>536</v>
      </c>
      <c r="C19" s="497"/>
      <c r="D19" s="497"/>
      <c r="E19" s="498"/>
    </row>
    <row r="20" spans="2:5" s="316" customFormat="1" ht="15.75">
      <c r="B20" s="355"/>
      <c r="C20" s="355"/>
      <c r="D20" s="355"/>
      <c r="E20" s="355"/>
    </row>
    <row r="21" spans="2:5" s="322" customFormat="1" ht="15.75">
      <c r="B21" s="331" t="s">
        <v>537</v>
      </c>
      <c r="C21" s="332" t="s">
        <v>538</v>
      </c>
      <c r="D21" s="333"/>
      <c r="E21" s="334">
        <f>E13+E15+E17</f>
        <v>297301200</v>
      </c>
    </row>
    <row r="22" spans="2:5" s="322" customFormat="1" ht="15.75">
      <c r="B22" s="331" t="s">
        <v>537</v>
      </c>
      <c r="C22" s="332" t="s">
        <v>343</v>
      </c>
      <c r="D22" s="333"/>
      <c r="E22" s="334">
        <f>E21</f>
        <v>297301200</v>
      </c>
    </row>
    <row r="23" spans="2:5" s="322" customFormat="1" ht="15.75">
      <c r="B23" s="331" t="s">
        <v>537</v>
      </c>
      <c r="C23" s="332" t="s">
        <v>344</v>
      </c>
      <c r="D23" s="333"/>
      <c r="E23" s="334">
        <v>0</v>
      </c>
    </row>
    <row r="25" spans="2:5" s="316" customFormat="1" ht="21.75" customHeight="1">
      <c r="B25" s="315" t="s">
        <v>539</v>
      </c>
      <c r="E25" s="335" t="s">
        <v>524</v>
      </c>
    </row>
    <row r="26" spans="2:5" ht="63.75">
      <c r="B26" s="336" t="s">
        <v>540</v>
      </c>
      <c r="C26" s="336" t="s">
        <v>541</v>
      </c>
      <c r="D26" s="336" t="s">
        <v>542</v>
      </c>
      <c r="E26" s="336" t="s">
        <v>232</v>
      </c>
    </row>
    <row r="27" spans="2:5" ht="12.75">
      <c r="B27" s="337">
        <v>1</v>
      </c>
      <c r="C27" s="337">
        <v>2</v>
      </c>
      <c r="D27" s="337">
        <v>3</v>
      </c>
      <c r="E27" s="337">
        <v>4</v>
      </c>
    </row>
    <row r="28" spans="2:5" s="316" customFormat="1" ht="15.75">
      <c r="B28" s="494" t="s">
        <v>543</v>
      </c>
      <c r="C28" s="494"/>
      <c r="D28" s="494"/>
      <c r="E28" s="494"/>
    </row>
    <row r="29" spans="2:5" s="319" customFormat="1" ht="12.75">
      <c r="B29" s="338">
        <v>3719110</v>
      </c>
      <c r="C29" s="338">
        <v>9110</v>
      </c>
      <c r="D29" s="338" t="s">
        <v>52</v>
      </c>
      <c r="E29" s="339">
        <v>18590300</v>
      </c>
    </row>
    <row r="30" spans="2:5" s="319" customFormat="1" ht="12.75">
      <c r="B30" s="327" t="s">
        <v>530</v>
      </c>
      <c r="C30" s="328" t="s">
        <v>531</v>
      </c>
      <c r="D30" s="329"/>
      <c r="E30" s="340">
        <f>E29</f>
        <v>18590300</v>
      </c>
    </row>
    <row r="31" spans="2:5" ht="12.75">
      <c r="B31" s="341"/>
      <c r="C31" s="342"/>
      <c r="D31" s="342"/>
      <c r="E31" s="343"/>
    </row>
    <row r="32" spans="2:5" s="316" customFormat="1" ht="19.5" customHeight="1">
      <c r="B32" s="496" t="s">
        <v>544</v>
      </c>
      <c r="C32" s="497"/>
      <c r="D32" s="497"/>
      <c r="E32" s="498"/>
    </row>
    <row r="33" spans="2:5" s="322" customFormat="1" ht="15.75">
      <c r="B33" s="344" t="s">
        <v>537</v>
      </c>
      <c r="C33" s="344" t="s">
        <v>537</v>
      </c>
      <c r="D33" s="345" t="s">
        <v>538</v>
      </c>
      <c r="E33" s="346"/>
    </row>
    <row r="34" spans="2:5" s="322" customFormat="1" ht="15.75">
      <c r="B34" s="347" t="s">
        <v>537</v>
      </c>
      <c r="C34" s="347" t="s">
        <v>537</v>
      </c>
      <c r="D34" s="348" t="s">
        <v>343</v>
      </c>
      <c r="E34" s="349">
        <f>E29</f>
        <v>18590300</v>
      </c>
    </row>
    <row r="35" spans="2:5" s="322" customFormat="1" ht="15.75">
      <c r="B35" s="350" t="s">
        <v>537</v>
      </c>
      <c r="C35" s="350" t="s">
        <v>537</v>
      </c>
      <c r="D35" s="351" t="s">
        <v>344</v>
      </c>
      <c r="E35" s="352">
        <v>0</v>
      </c>
    </row>
    <row r="36" spans="2:5" ht="12.75">
      <c r="B36" s="353"/>
      <c r="C36" s="353"/>
      <c r="D36" s="353"/>
      <c r="E36" s="354"/>
    </row>
    <row r="39" spans="1:7" s="1" customFormat="1" ht="15.75">
      <c r="A39" s="471" t="s">
        <v>569</v>
      </c>
      <c r="B39" s="471"/>
      <c r="C39" s="471"/>
      <c r="D39" s="471"/>
      <c r="E39" s="9" t="s">
        <v>570</v>
      </c>
      <c r="F39" s="223"/>
      <c r="G39" s="304"/>
    </row>
  </sheetData>
  <sheetProtection/>
  <mergeCells count="12">
    <mergeCell ref="B12:E12"/>
    <mergeCell ref="B19:E19"/>
    <mergeCell ref="A39:D39"/>
    <mergeCell ref="B28:E28"/>
    <mergeCell ref="E4:I4"/>
    <mergeCell ref="D1:G3"/>
    <mergeCell ref="B32:E32"/>
    <mergeCell ref="B5:E5"/>
    <mergeCell ref="B6:E6"/>
    <mergeCell ref="B7:E7"/>
    <mergeCell ref="C10:D10"/>
    <mergeCell ref="C11:D11"/>
  </mergeCells>
  <printOptions horizontalCentered="1"/>
  <pageMargins left="0.1968503937007874" right="0.1968503937007874" top="0.1968503937007874" bottom="0.1968503937007874" header="0" footer="0"/>
  <pageSetup fitToHeight="5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="85" zoomScaleNormal="70" zoomScaleSheetLayoutView="85" zoomScalePageLayoutView="0" workbookViewId="0" topLeftCell="A13">
      <selection activeCell="F69" sqref="F69"/>
    </sheetView>
  </sheetViews>
  <sheetFormatPr defaultColWidth="9.00390625" defaultRowHeight="12.75"/>
  <cols>
    <col min="1" max="1" width="9.125" style="395" customWidth="1"/>
    <col min="2" max="2" width="14.375" style="395" customWidth="1"/>
    <col min="3" max="3" width="11.75390625" style="395" customWidth="1"/>
    <col min="4" max="4" width="12.00390625" style="395" customWidth="1"/>
    <col min="5" max="5" width="49.625" style="395" customWidth="1"/>
    <col min="6" max="6" width="44.00390625" style="395" customWidth="1"/>
    <col min="7" max="7" width="14.875" style="395" customWidth="1"/>
    <col min="8" max="9" width="18.75390625" style="395" customWidth="1"/>
    <col min="10" max="10" width="19.75390625" style="395" customWidth="1"/>
    <col min="11" max="11" width="14.25390625" style="395" customWidth="1"/>
    <col min="12" max="13" width="9.125" style="395" customWidth="1"/>
    <col min="14" max="14" width="19.125" style="395" customWidth="1"/>
    <col min="15" max="15" width="18.625" style="395" customWidth="1"/>
    <col min="16" max="16" width="14.75390625" style="395" customWidth="1"/>
    <col min="17" max="16384" width="9.125" style="395" customWidth="1"/>
  </cols>
  <sheetData>
    <row r="1" spans="2:12" ht="57.75" customHeight="1">
      <c r="B1" s="397"/>
      <c r="C1" s="398"/>
      <c r="D1" s="398"/>
      <c r="E1" s="398"/>
      <c r="F1" s="398"/>
      <c r="G1" s="510" t="s">
        <v>567</v>
      </c>
      <c r="H1" s="510"/>
      <c r="I1" s="510"/>
      <c r="J1" s="510"/>
      <c r="K1" s="510"/>
      <c r="L1" s="510"/>
    </row>
    <row r="2" spans="2:12" ht="15.75">
      <c r="B2" s="397"/>
      <c r="C2" s="398"/>
      <c r="D2" s="398"/>
      <c r="E2" s="398"/>
      <c r="F2" s="398"/>
      <c r="G2" s="510"/>
      <c r="H2" s="510"/>
      <c r="I2" s="510"/>
      <c r="J2" s="510"/>
      <c r="K2" s="510"/>
      <c r="L2" s="510"/>
    </row>
    <row r="3" spans="2:12" ht="15.75">
      <c r="B3" s="397"/>
      <c r="C3" s="398"/>
      <c r="D3" s="398"/>
      <c r="E3" s="398"/>
      <c r="F3" s="398"/>
      <c r="G3" s="510"/>
      <c r="H3" s="510"/>
      <c r="I3" s="510"/>
      <c r="J3" s="510"/>
      <c r="K3" s="510"/>
      <c r="L3" s="510"/>
    </row>
    <row r="4" spans="2:12" ht="15.75">
      <c r="B4" s="397"/>
      <c r="C4" s="398"/>
      <c r="D4" s="398"/>
      <c r="E4" s="398"/>
      <c r="F4" s="398"/>
      <c r="G4" s="398"/>
      <c r="H4" s="493"/>
      <c r="I4" s="493"/>
      <c r="J4" s="493"/>
      <c r="K4" s="493"/>
      <c r="L4" s="493"/>
    </row>
    <row r="5" spans="2:11" ht="15.75">
      <c r="B5" s="399"/>
      <c r="C5" s="398"/>
      <c r="D5" s="398"/>
      <c r="E5" s="398"/>
      <c r="F5" s="398"/>
      <c r="G5" s="398"/>
      <c r="H5" s="398"/>
      <c r="I5" s="398"/>
      <c r="J5" s="398"/>
      <c r="K5" s="398"/>
    </row>
    <row r="6" spans="2:11" ht="15.75">
      <c r="B6" s="509" t="s">
        <v>429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2:11" ht="15.75">
      <c r="B7" s="509" t="s">
        <v>430</v>
      </c>
      <c r="C7" s="509"/>
      <c r="D7" s="509"/>
      <c r="E7" s="509"/>
      <c r="F7" s="509"/>
      <c r="G7" s="509"/>
      <c r="H7" s="509"/>
      <c r="I7" s="509"/>
      <c r="J7" s="509"/>
      <c r="K7" s="509"/>
    </row>
    <row r="8" spans="2:11" ht="15.75">
      <c r="B8" s="509" t="s">
        <v>514</v>
      </c>
      <c r="C8" s="509"/>
      <c r="D8" s="509"/>
      <c r="E8" s="509"/>
      <c r="F8" s="509"/>
      <c r="G8" s="509"/>
      <c r="H8" s="509"/>
      <c r="I8" s="509"/>
      <c r="J8" s="509"/>
      <c r="K8" s="509"/>
    </row>
    <row r="9" spans="2:11" ht="15.75">
      <c r="B9" s="400">
        <v>7507000000</v>
      </c>
      <c r="C9" s="398"/>
      <c r="D9" s="398"/>
      <c r="E9" s="398"/>
      <c r="F9" s="398"/>
      <c r="G9" s="398"/>
      <c r="H9" s="398"/>
      <c r="I9" s="398"/>
      <c r="J9" s="398"/>
      <c r="K9" s="398"/>
    </row>
    <row r="10" spans="2:11" ht="12.75">
      <c r="B10" s="401" t="s">
        <v>270</v>
      </c>
      <c r="C10" s="398"/>
      <c r="D10" s="398"/>
      <c r="E10" s="398"/>
      <c r="F10" s="398"/>
      <c r="G10" s="398"/>
      <c r="H10" s="398"/>
      <c r="I10" s="398"/>
      <c r="J10" s="398"/>
      <c r="K10" s="398"/>
    </row>
    <row r="11" spans="2:11" ht="15.75">
      <c r="B11" s="402"/>
      <c r="C11" s="398"/>
      <c r="D11" s="398"/>
      <c r="E11" s="398"/>
      <c r="F11" s="398"/>
      <c r="G11" s="398"/>
      <c r="H11" s="398"/>
      <c r="I11" s="398"/>
      <c r="J11" s="398"/>
      <c r="K11" s="398"/>
    </row>
    <row r="12" spans="2:11" ht="15.75">
      <c r="B12" s="402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2:11" ht="89.25">
      <c r="B13" s="390" t="s">
        <v>272</v>
      </c>
      <c r="C13" s="390" t="s">
        <v>431</v>
      </c>
      <c r="D13" s="390" t="s">
        <v>241</v>
      </c>
      <c r="E13" s="390" t="s">
        <v>271</v>
      </c>
      <c r="F13" s="390" t="s">
        <v>432</v>
      </c>
      <c r="G13" s="390" t="s">
        <v>433</v>
      </c>
      <c r="H13" s="390" t="s">
        <v>434</v>
      </c>
      <c r="I13" s="390" t="s">
        <v>435</v>
      </c>
      <c r="J13" s="390" t="s">
        <v>474</v>
      </c>
      <c r="K13" s="390" t="s">
        <v>475</v>
      </c>
    </row>
    <row r="14" spans="2:11" ht="12.75">
      <c r="B14" s="390">
        <v>1</v>
      </c>
      <c r="C14" s="390">
        <v>2</v>
      </c>
      <c r="D14" s="390">
        <v>3</v>
      </c>
      <c r="E14" s="390">
        <v>4</v>
      </c>
      <c r="F14" s="390">
        <v>5</v>
      </c>
      <c r="G14" s="390">
        <v>6</v>
      </c>
      <c r="H14" s="390">
        <v>7</v>
      </c>
      <c r="I14" s="390">
        <v>8</v>
      </c>
      <c r="J14" s="390">
        <v>9</v>
      </c>
      <c r="K14" s="390">
        <v>10</v>
      </c>
    </row>
    <row r="15" spans="2:11" ht="53.25" customHeight="1">
      <c r="B15" s="129" t="s">
        <v>188</v>
      </c>
      <c r="C15" s="129" t="s">
        <v>187</v>
      </c>
      <c r="D15" s="130"/>
      <c r="E15" s="131" t="s">
        <v>277</v>
      </c>
      <c r="F15" s="403"/>
      <c r="G15" s="403"/>
      <c r="H15" s="404">
        <f>SUM(H16)</f>
        <v>69006207</v>
      </c>
      <c r="I15" s="404">
        <f>SUM(I16)</f>
        <v>56160201.86</v>
      </c>
      <c r="J15" s="404">
        <f>SUM(J16)</f>
        <v>2714706</v>
      </c>
      <c r="K15" s="403"/>
    </row>
    <row r="16" spans="2:11" ht="53.25" customHeight="1">
      <c r="B16" s="129" t="s">
        <v>189</v>
      </c>
      <c r="C16" s="129"/>
      <c r="D16" s="130"/>
      <c r="E16" s="131" t="s">
        <v>278</v>
      </c>
      <c r="F16" s="405"/>
      <c r="G16" s="405"/>
      <c r="H16" s="406">
        <f>SUM(H24+H17+H21)</f>
        <v>69006207</v>
      </c>
      <c r="I16" s="406">
        <f>SUM(I24+I17+I21)</f>
        <v>56160201.86</v>
      </c>
      <c r="J16" s="406">
        <f>SUM(J24+J17+J21)</f>
        <v>2714706</v>
      </c>
      <c r="K16" s="405"/>
    </row>
    <row r="17" spans="2:11" ht="25.5">
      <c r="B17" s="407" t="s">
        <v>0</v>
      </c>
      <c r="C17" s="408" t="s">
        <v>217</v>
      </c>
      <c r="D17" s="408" t="s">
        <v>192</v>
      </c>
      <c r="E17" s="412" t="s">
        <v>515</v>
      </c>
      <c r="F17" s="413"/>
      <c r="G17" s="410"/>
      <c r="H17" s="406">
        <f>SUM(H18:H20)</f>
        <v>25282973</v>
      </c>
      <c r="I17" s="406">
        <f>SUM(I18:I20)</f>
        <v>19140812.189999998</v>
      </c>
      <c r="J17" s="406">
        <f>SUM(J18:J20)</f>
        <v>1214350</v>
      </c>
      <c r="K17" s="406"/>
    </row>
    <row r="18" spans="2:11" s="432" customFormat="1" ht="38.25">
      <c r="B18" s="429" t="s">
        <v>0</v>
      </c>
      <c r="C18" s="430" t="s">
        <v>217</v>
      </c>
      <c r="D18" s="430" t="s">
        <v>192</v>
      </c>
      <c r="E18" s="431" t="s">
        <v>515</v>
      </c>
      <c r="F18" s="440" t="s">
        <v>516</v>
      </c>
      <c r="G18" s="430" t="s">
        <v>559</v>
      </c>
      <c r="H18" s="439">
        <v>12834748</v>
      </c>
      <c r="I18" s="446">
        <v>9321975.42</v>
      </c>
      <c r="J18" s="439">
        <v>100000</v>
      </c>
      <c r="K18" s="457">
        <f>I18/H18*100</f>
        <v>72.63076314392772</v>
      </c>
    </row>
    <row r="19" spans="2:11" s="432" customFormat="1" ht="25.5">
      <c r="B19" s="429" t="s">
        <v>0</v>
      </c>
      <c r="C19" s="430" t="s">
        <v>217</v>
      </c>
      <c r="D19" s="430" t="s">
        <v>192</v>
      </c>
      <c r="E19" s="431" t="s">
        <v>515</v>
      </c>
      <c r="F19" s="415" t="s">
        <v>337</v>
      </c>
      <c r="G19" s="434" t="s">
        <v>558</v>
      </c>
      <c r="H19" s="439">
        <v>6426432</v>
      </c>
      <c r="I19" s="446">
        <v>4656054.84</v>
      </c>
      <c r="J19" s="439">
        <v>200000</v>
      </c>
      <c r="K19" s="457">
        <f>I19/H19*100</f>
        <v>72.4516316363419</v>
      </c>
    </row>
    <row r="20" spans="2:11" s="432" customFormat="1" ht="38.25">
      <c r="B20" s="433" t="s">
        <v>0</v>
      </c>
      <c r="C20" s="434" t="s">
        <v>217</v>
      </c>
      <c r="D20" s="434" t="s">
        <v>192</v>
      </c>
      <c r="E20" s="435" t="s">
        <v>515</v>
      </c>
      <c r="F20" s="436" t="s">
        <v>338</v>
      </c>
      <c r="G20" s="434" t="s">
        <v>554</v>
      </c>
      <c r="H20" s="439">
        <v>6021793</v>
      </c>
      <c r="I20" s="446">
        <v>5162781.93</v>
      </c>
      <c r="J20" s="439">
        <v>914350</v>
      </c>
      <c r="K20" s="457">
        <f>I20/H20*100</f>
        <v>85.73496182947503</v>
      </c>
    </row>
    <row r="21" spans="2:11" ht="25.5">
      <c r="B21" s="407" t="s">
        <v>268</v>
      </c>
      <c r="C21" s="408" t="s">
        <v>219</v>
      </c>
      <c r="D21" s="408" t="s">
        <v>192</v>
      </c>
      <c r="E21" s="409" t="s">
        <v>515</v>
      </c>
      <c r="F21" s="405"/>
      <c r="G21" s="410"/>
      <c r="H21" s="406">
        <f>H22</f>
        <v>11050050</v>
      </c>
      <c r="I21" s="406">
        <f>I22</f>
        <v>10888863.95</v>
      </c>
      <c r="J21" s="406">
        <f>J22</f>
        <v>1300356</v>
      </c>
      <c r="K21" s="406"/>
    </row>
    <row r="22" spans="2:11" s="432" customFormat="1" ht="25.5">
      <c r="B22" s="429" t="s">
        <v>268</v>
      </c>
      <c r="C22" s="430" t="s">
        <v>219</v>
      </c>
      <c r="D22" s="430" t="s">
        <v>192</v>
      </c>
      <c r="E22" s="431" t="s">
        <v>515</v>
      </c>
      <c r="F22" s="411" t="s">
        <v>341</v>
      </c>
      <c r="G22" s="430" t="s">
        <v>558</v>
      </c>
      <c r="H22" s="439">
        <v>11050050</v>
      </c>
      <c r="I22" s="448">
        <v>10888863.95</v>
      </c>
      <c r="J22" s="439">
        <f>1300356</f>
        <v>1300356</v>
      </c>
      <c r="K22" s="457">
        <f>I22/H22*100</f>
        <v>98.54130931534246</v>
      </c>
    </row>
    <row r="23" spans="2:11" s="432" customFormat="1" ht="18.75" customHeight="1">
      <c r="B23" s="429"/>
      <c r="C23" s="430"/>
      <c r="D23" s="430"/>
      <c r="E23" s="431"/>
      <c r="F23" s="389" t="s">
        <v>547</v>
      </c>
      <c r="G23" s="430"/>
      <c r="H23" s="439"/>
      <c r="I23" s="448"/>
      <c r="J23" s="439">
        <v>1274723</v>
      </c>
      <c r="K23" s="416"/>
    </row>
    <row r="24" spans="2:11" s="444" customFormat="1" ht="52.5" customHeight="1">
      <c r="B24" s="442">
        <v>1217461</v>
      </c>
      <c r="C24" s="442">
        <v>7461</v>
      </c>
      <c r="D24" s="437" t="s">
        <v>3</v>
      </c>
      <c r="E24" s="443" t="s">
        <v>4</v>
      </c>
      <c r="F24" s="438"/>
      <c r="G24" s="438"/>
      <c r="H24" s="414">
        <f>SUM(H25)</f>
        <v>32673184</v>
      </c>
      <c r="I24" s="414">
        <f>SUM(I25)</f>
        <v>26130525.72</v>
      </c>
      <c r="J24" s="414">
        <f>SUM(J25)</f>
        <v>200000</v>
      </c>
      <c r="K24" s="410"/>
    </row>
    <row r="25" spans="2:11" ht="42.75" customHeight="1">
      <c r="B25" s="441">
        <v>1217461</v>
      </c>
      <c r="C25" s="441">
        <v>7461</v>
      </c>
      <c r="D25" s="430" t="s">
        <v>3</v>
      </c>
      <c r="E25" s="445" t="s">
        <v>4</v>
      </c>
      <c r="F25" s="416" t="s">
        <v>340</v>
      </c>
      <c r="G25" s="416" t="s">
        <v>558</v>
      </c>
      <c r="H25" s="417">
        <v>32673184</v>
      </c>
      <c r="I25" s="448">
        <v>26130525.72</v>
      </c>
      <c r="J25" s="439">
        <v>200000</v>
      </c>
      <c r="K25" s="457">
        <f>I25/H25*100</f>
        <v>79.97544934708536</v>
      </c>
    </row>
    <row r="26" spans="2:16" ht="55.5" customHeight="1">
      <c r="B26" s="129" t="s">
        <v>32</v>
      </c>
      <c r="C26" s="129" t="s">
        <v>63</v>
      </c>
      <c r="D26" s="130"/>
      <c r="E26" s="128" t="s">
        <v>350</v>
      </c>
      <c r="F26" s="390"/>
      <c r="G26" s="390"/>
      <c r="H26" s="459">
        <f>H27</f>
        <v>178033453</v>
      </c>
      <c r="I26" s="459">
        <f>I27</f>
        <v>103072354.14999999</v>
      </c>
      <c r="J26" s="459">
        <f>J27</f>
        <v>83902143</v>
      </c>
      <c r="K26" s="390"/>
      <c r="N26" s="418"/>
      <c r="O26" s="418"/>
      <c r="P26" s="418"/>
    </row>
    <row r="27" spans="2:16" ht="56.25" customHeight="1">
      <c r="B27" s="129" t="s">
        <v>37</v>
      </c>
      <c r="C27" s="129"/>
      <c r="D27" s="130"/>
      <c r="E27" s="128" t="s">
        <v>351</v>
      </c>
      <c r="F27" s="390"/>
      <c r="G27" s="390"/>
      <c r="H27" s="459">
        <f>H28+H30+H40+H42+H67+H70+H72</f>
        <v>178033453</v>
      </c>
      <c r="I27" s="459">
        <f>I28+I30+I40+I42+I67+I70+I72</f>
        <v>103072354.14999999</v>
      </c>
      <c r="J27" s="459">
        <f>J28+J30+J40+J42+J67+J70+J72</f>
        <v>83902143</v>
      </c>
      <c r="K27" s="390"/>
      <c r="N27" s="418"/>
      <c r="O27" s="418"/>
      <c r="P27" s="418"/>
    </row>
    <row r="28" spans="2:11" ht="28.5">
      <c r="B28" s="419">
        <v>1517310</v>
      </c>
      <c r="C28" s="420">
        <v>7310</v>
      </c>
      <c r="D28" s="420"/>
      <c r="E28" s="421" t="s">
        <v>357</v>
      </c>
      <c r="F28" s="391"/>
      <c r="G28" s="391"/>
      <c r="H28" s="460">
        <f>H29</f>
        <v>2550000</v>
      </c>
      <c r="I28" s="460">
        <f>I29</f>
        <v>2500000</v>
      </c>
      <c r="J28" s="460">
        <f>J29</f>
        <v>2500000</v>
      </c>
      <c r="K28" s="391"/>
    </row>
    <row r="29" spans="2:11" ht="60">
      <c r="B29" s="390">
        <v>1517310</v>
      </c>
      <c r="C29" s="391">
        <v>7310</v>
      </c>
      <c r="D29" s="391"/>
      <c r="E29" s="393" t="s">
        <v>357</v>
      </c>
      <c r="F29" s="393" t="s">
        <v>476</v>
      </c>
      <c r="G29" s="391">
        <v>2022</v>
      </c>
      <c r="H29" s="461">
        <v>2550000</v>
      </c>
      <c r="I29" s="462">
        <v>2500000</v>
      </c>
      <c r="J29" s="461">
        <v>2500000</v>
      </c>
      <c r="K29" s="457">
        <f>I29/H29*100</f>
        <v>98.0392156862745</v>
      </c>
    </row>
    <row r="30" spans="2:11" ht="48.75" customHeight="1">
      <c r="B30" s="419">
        <v>1517321</v>
      </c>
      <c r="C30" s="420">
        <v>7321</v>
      </c>
      <c r="D30" s="422" t="s">
        <v>192</v>
      </c>
      <c r="E30" s="421" t="s">
        <v>221</v>
      </c>
      <c r="F30" s="391"/>
      <c r="G30" s="391"/>
      <c r="H30" s="460">
        <f>SUM(H31:H39)-H32</f>
        <v>52410219</v>
      </c>
      <c r="I30" s="459">
        <f>SUM(I31:I39)</f>
        <v>22599912.8</v>
      </c>
      <c r="J30" s="460">
        <f>SUM(J31:J39)-J32</f>
        <v>8128725</v>
      </c>
      <c r="K30" s="391"/>
    </row>
    <row r="31" spans="2:11" ht="45">
      <c r="B31" s="390">
        <v>1517321</v>
      </c>
      <c r="C31" s="391">
        <v>7321</v>
      </c>
      <c r="D31" s="392" t="s">
        <v>192</v>
      </c>
      <c r="E31" s="393" t="s">
        <v>221</v>
      </c>
      <c r="F31" s="393" t="s">
        <v>316</v>
      </c>
      <c r="G31" s="391" t="s">
        <v>554</v>
      </c>
      <c r="H31" s="461">
        <v>17538265</v>
      </c>
      <c r="I31" s="462">
        <v>16506624</v>
      </c>
      <c r="J31" s="461">
        <v>2998682</v>
      </c>
      <c r="K31" s="457">
        <f>I31/H31*100</f>
        <v>94.11777048641927</v>
      </c>
    </row>
    <row r="32" spans="2:11" ht="30">
      <c r="B32" s="390"/>
      <c r="C32" s="391"/>
      <c r="D32" s="392"/>
      <c r="E32" s="393"/>
      <c r="F32" s="389" t="s">
        <v>547</v>
      </c>
      <c r="G32" s="391"/>
      <c r="H32" s="461"/>
      <c r="I32" s="462"/>
      <c r="J32" s="463">
        <v>2998681</v>
      </c>
      <c r="K32" s="394"/>
    </row>
    <row r="33" spans="2:11" ht="75">
      <c r="B33" s="390">
        <v>1517321</v>
      </c>
      <c r="C33" s="391">
        <v>7321</v>
      </c>
      <c r="D33" s="392" t="s">
        <v>192</v>
      </c>
      <c r="E33" s="393" t="s">
        <v>221</v>
      </c>
      <c r="F33" s="393" t="s">
        <v>478</v>
      </c>
      <c r="G33" s="391" t="s">
        <v>554</v>
      </c>
      <c r="H33" s="461">
        <v>34871954</v>
      </c>
      <c r="I33" s="462">
        <v>1194932.8</v>
      </c>
      <c r="J33" s="461">
        <v>400000</v>
      </c>
      <c r="K33" s="457">
        <f>I33/H33*100</f>
        <v>3.426629892893298</v>
      </c>
    </row>
    <row r="34" spans="2:11" ht="105">
      <c r="B34" s="390">
        <v>1517321</v>
      </c>
      <c r="C34" s="391">
        <v>7321</v>
      </c>
      <c r="D34" s="392" t="s">
        <v>192</v>
      </c>
      <c r="E34" s="393" t="s">
        <v>221</v>
      </c>
      <c r="F34" s="393" t="s">
        <v>479</v>
      </c>
      <c r="G34" s="391" t="s">
        <v>477</v>
      </c>
      <c r="H34" s="461"/>
      <c r="I34" s="462">
        <v>4249356</v>
      </c>
      <c r="J34" s="461">
        <v>4200000</v>
      </c>
      <c r="K34" s="391"/>
    </row>
    <row r="35" spans="2:11" ht="45">
      <c r="B35" s="390">
        <v>1517321</v>
      </c>
      <c r="C35" s="391">
        <v>7321</v>
      </c>
      <c r="D35" s="392" t="s">
        <v>192</v>
      </c>
      <c r="E35" s="393" t="s">
        <v>221</v>
      </c>
      <c r="F35" s="393" t="s">
        <v>480</v>
      </c>
      <c r="G35" s="391">
        <v>2022</v>
      </c>
      <c r="H35" s="464"/>
      <c r="I35" s="462">
        <v>200000</v>
      </c>
      <c r="J35" s="461">
        <v>200000</v>
      </c>
      <c r="K35" s="391"/>
    </row>
    <row r="36" spans="2:11" ht="45">
      <c r="B36" s="390">
        <v>1517321</v>
      </c>
      <c r="C36" s="391">
        <v>7321</v>
      </c>
      <c r="D36" s="392" t="s">
        <v>192</v>
      </c>
      <c r="E36" s="393" t="s">
        <v>221</v>
      </c>
      <c r="F36" s="393" t="s">
        <v>481</v>
      </c>
      <c r="G36" s="391">
        <v>2022</v>
      </c>
      <c r="H36" s="464"/>
      <c r="I36" s="462">
        <v>150000</v>
      </c>
      <c r="J36" s="461">
        <v>150000</v>
      </c>
      <c r="K36" s="391"/>
    </row>
    <row r="37" spans="2:11" ht="45">
      <c r="B37" s="390">
        <v>1517321</v>
      </c>
      <c r="C37" s="391">
        <v>7321</v>
      </c>
      <c r="D37" s="392" t="s">
        <v>192</v>
      </c>
      <c r="E37" s="393" t="s">
        <v>221</v>
      </c>
      <c r="F37" s="393" t="s">
        <v>482</v>
      </c>
      <c r="G37" s="391" t="s">
        <v>477</v>
      </c>
      <c r="H37" s="464"/>
      <c r="I37" s="462">
        <v>100000</v>
      </c>
      <c r="J37" s="461">
        <v>80043</v>
      </c>
      <c r="K37" s="391"/>
    </row>
    <row r="38" spans="2:11" ht="45">
      <c r="B38" s="390">
        <v>1517321</v>
      </c>
      <c r="C38" s="391">
        <v>7321</v>
      </c>
      <c r="D38" s="392" t="s">
        <v>192</v>
      </c>
      <c r="E38" s="393" t="s">
        <v>221</v>
      </c>
      <c r="F38" s="393" t="s">
        <v>483</v>
      </c>
      <c r="G38" s="391">
        <v>2022</v>
      </c>
      <c r="H38" s="464"/>
      <c r="I38" s="462">
        <v>50000</v>
      </c>
      <c r="J38" s="461">
        <v>50000</v>
      </c>
      <c r="K38" s="391"/>
    </row>
    <row r="39" spans="2:11" ht="30">
      <c r="B39" s="390">
        <v>1517321</v>
      </c>
      <c r="C39" s="391">
        <v>7321</v>
      </c>
      <c r="D39" s="392" t="s">
        <v>192</v>
      </c>
      <c r="E39" s="393" t="s">
        <v>221</v>
      </c>
      <c r="F39" s="393" t="s">
        <v>485</v>
      </c>
      <c r="G39" s="391" t="s">
        <v>477</v>
      </c>
      <c r="H39" s="464"/>
      <c r="I39" s="462">
        <v>149000</v>
      </c>
      <c r="J39" s="461">
        <v>50000</v>
      </c>
      <c r="K39" s="391"/>
    </row>
    <row r="40" spans="2:11" ht="25.5" customHeight="1">
      <c r="B40" s="419" t="s">
        <v>548</v>
      </c>
      <c r="C40" s="420" t="s">
        <v>549</v>
      </c>
      <c r="D40" s="420" t="s">
        <v>192</v>
      </c>
      <c r="E40" s="421" t="s">
        <v>550</v>
      </c>
      <c r="F40" s="420"/>
      <c r="G40" s="420"/>
      <c r="H40" s="465">
        <f>H41</f>
        <v>0</v>
      </c>
      <c r="I40" s="459">
        <v>250000</v>
      </c>
      <c r="J40" s="465">
        <f>J41</f>
        <v>250000</v>
      </c>
      <c r="K40" s="420"/>
    </row>
    <row r="41" spans="2:11" ht="45">
      <c r="B41" s="390">
        <v>1517324</v>
      </c>
      <c r="C41" s="391" t="s">
        <v>549</v>
      </c>
      <c r="D41" s="391" t="s">
        <v>192</v>
      </c>
      <c r="E41" s="393" t="s">
        <v>550</v>
      </c>
      <c r="F41" s="393" t="s">
        <v>484</v>
      </c>
      <c r="G41" s="391">
        <v>2022</v>
      </c>
      <c r="H41" s="464"/>
      <c r="I41" s="462">
        <v>250000</v>
      </c>
      <c r="J41" s="461">
        <v>250000</v>
      </c>
      <c r="K41" s="391"/>
    </row>
    <row r="42" spans="2:11" ht="28.5">
      <c r="B42" s="419" t="s">
        <v>220</v>
      </c>
      <c r="C42" s="420" t="s">
        <v>219</v>
      </c>
      <c r="D42" s="420" t="s">
        <v>192</v>
      </c>
      <c r="E42" s="421" t="s">
        <v>358</v>
      </c>
      <c r="F42" s="391"/>
      <c r="G42" s="391"/>
      <c r="H42" s="460">
        <f>SUM(H43:H66)-H45</f>
        <v>43492328</v>
      </c>
      <c r="I42" s="460">
        <f>SUM(I43:I66)-I45</f>
        <v>31926465</v>
      </c>
      <c r="J42" s="460">
        <f>SUM(J43:J66)-J45</f>
        <v>28478646</v>
      </c>
      <c r="K42" s="391"/>
    </row>
    <row r="43" spans="2:11" ht="75">
      <c r="B43" s="390" t="s">
        <v>220</v>
      </c>
      <c r="C43" s="391" t="s">
        <v>219</v>
      </c>
      <c r="D43" s="391" t="s">
        <v>192</v>
      </c>
      <c r="E43" s="393" t="s">
        <v>358</v>
      </c>
      <c r="F43" s="393" t="s">
        <v>486</v>
      </c>
      <c r="G43" s="391" t="s">
        <v>477</v>
      </c>
      <c r="H43" s="461">
        <v>2896147</v>
      </c>
      <c r="I43" s="462">
        <v>279400</v>
      </c>
      <c r="J43" s="461">
        <v>100000</v>
      </c>
      <c r="K43" s="457">
        <f>I43/H43*100</f>
        <v>9.64730036148027</v>
      </c>
    </row>
    <row r="44" spans="2:11" ht="30">
      <c r="B44" s="390" t="s">
        <v>220</v>
      </c>
      <c r="C44" s="391" t="s">
        <v>219</v>
      </c>
      <c r="D44" s="391" t="s">
        <v>192</v>
      </c>
      <c r="E44" s="393" t="s">
        <v>358</v>
      </c>
      <c r="F44" s="393" t="s">
        <v>487</v>
      </c>
      <c r="G44" s="391" t="s">
        <v>477</v>
      </c>
      <c r="H44" s="461">
        <v>10692414</v>
      </c>
      <c r="I44" s="462">
        <v>6372163</v>
      </c>
      <c r="J44" s="461">
        <v>5593334</v>
      </c>
      <c r="K44" s="457">
        <f>I44/H44*100</f>
        <v>59.59517654292099</v>
      </c>
    </row>
    <row r="45" spans="2:11" ht="30">
      <c r="B45" s="390"/>
      <c r="C45" s="391"/>
      <c r="D45" s="391"/>
      <c r="E45" s="393"/>
      <c r="F45" s="389" t="s">
        <v>547</v>
      </c>
      <c r="G45" s="391"/>
      <c r="H45" s="461"/>
      <c r="I45" s="462"/>
      <c r="J45" s="463">
        <v>5593334</v>
      </c>
      <c r="K45" s="394"/>
    </row>
    <row r="46" spans="2:11" ht="45">
      <c r="B46" s="390" t="s">
        <v>220</v>
      </c>
      <c r="C46" s="391" t="s">
        <v>219</v>
      </c>
      <c r="D46" s="391" t="s">
        <v>192</v>
      </c>
      <c r="E46" s="393" t="s">
        <v>358</v>
      </c>
      <c r="F46" s="423" t="s">
        <v>317</v>
      </c>
      <c r="G46" s="391" t="s">
        <v>477</v>
      </c>
      <c r="H46" s="461">
        <v>3788417</v>
      </c>
      <c r="I46" s="462">
        <v>2101809</v>
      </c>
      <c r="J46" s="461">
        <v>100000</v>
      </c>
      <c r="K46" s="457">
        <f>I46/H46*100</f>
        <v>55.4798745755813</v>
      </c>
    </row>
    <row r="47" spans="2:11" ht="30">
      <c r="B47" s="390" t="s">
        <v>220</v>
      </c>
      <c r="C47" s="391" t="s">
        <v>219</v>
      </c>
      <c r="D47" s="391" t="s">
        <v>192</v>
      </c>
      <c r="E47" s="393" t="s">
        <v>358</v>
      </c>
      <c r="F47" s="423" t="s">
        <v>488</v>
      </c>
      <c r="G47" s="391" t="s">
        <v>477</v>
      </c>
      <c r="H47" s="461"/>
      <c r="I47" s="462">
        <v>99356</v>
      </c>
      <c r="J47" s="461">
        <v>50000</v>
      </c>
      <c r="K47" s="394"/>
    </row>
    <row r="48" spans="2:11" ht="30">
      <c r="B48" s="390" t="s">
        <v>220</v>
      </c>
      <c r="C48" s="391" t="s">
        <v>219</v>
      </c>
      <c r="D48" s="391" t="s">
        <v>192</v>
      </c>
      <c r="E48" s="393" t="s">
        <v>358</v>
      </c>
      <c r="F48" s="393" t="s">
        <v>489</v>
      </c>
      <c r="G48" s="391">
        <v>2022</v>
      </c>
      <c r="H48" s="461">
        <v>3640000</v>
      </c>
      <c r="I48" s="462">
        <v>3640000</v>
      </c>
      <c r="J48" s="461">
        <v>3640000</v>
      </c>
      <c r="K48" s="457">
        <f>I48/H48*100</f>
        <v>100</v>
      </c>
    </row>
    <row r="49" spans="2:11" ht="30">
      <c r="B49" s="390" t="s">
        <v>220</v>
      </c>
      <c r="C49" s="391" t="s">
        <v>219</v>
      </c>
      <c r="D49" s="391" t="s">
        <v>192</v>
      </c>
      <c r="E49" s="393" t="s">
        <v>358</v>
      </c>
      <c r="F49" s="393" t="s">
        <v>362</v>
      </c>
      <c r="G49" s="391" t="s">
        <v>477</v>
      </c>
      <c r="H49" s="461"/>
      <c r="I49" s="462">
        <v>99529</v>
      </c>
      <c r="J49" s="461">
        <v>50000</v>
      </c>
      <c r="K49" s="424"/>
    </row>
    <row r="50" spans="2:11" ht="45">
      <c r="B50" s="390" t="s">
        <v>220</v>
      </c>
      <c r="C50" s="391" t="s">
        <v>219</v>
      </c>
      <c r="D50" s="391" t="s">
        <v>192</v>
      </c>
      <c r="E50" s="393" t="s">
        <v>358</v>
      </c>
      <c r="F50" s="393" t="s">
        <v>359</v>
      </c>
      <c r="G50" s="391" t="s">
        <v>477</v>
      </c>
      <c r="H50" s="461">
        <v>5063600</v>
      </c>
      <c r="I50" s="462">
        <v>5063600</v>
      </c>
      <c r="J50" s="461">
        <v>5015000</v>
      </c>
      <c r="K50" s="457">
        <f>I50/H50*100</f>
        <v>100</v>
      </c>
    </row>
    <row r="51" spans="2:11" ht="45">
      <c r="B51" s="390" t="s">
        <v>220</v>
      </c>
      <c r="C51" s="391" t="s">
        <v>219</v>
      </c>
      <c r="D51" s="391" t="s">
        <v>192</v>
      </c>
      <c r="E51" s="393" t="s">
        <v>358</v>
      </c>
      <c r="F51" s="393" t="s">
        <v>490</v>
      </c>
      <c r="G51" s="391" t="s">
        <v>477</v>
      </c>
      <c r="H51" s="461">
        <v>1628752</v>
      </c>
      <c r="I51" s="462">
        <v>1628752</v>
      </c>
      <c r="J51" s="461">
        <v>1580152</v>
      </c>
      <c r="K51" s="457">
        <f>I51/H51*100</f>
        <v>100</v>
      </c>
    </row>
    <row r="52" spans="2:11" ht="45">
      <c r="B52" s="390" t="s">
        <v>220</v>
      </c>
      <c r="C52" s="391" t="s">
        <v>219</v>
      </c>
      <c r="D52" s="391" t="s">
        <v>192</v>
      </c>
      <c r="E52" s="393" t="s">
        <v>358</v>
      </c>
      <c r="F52" s="423" t="s">
        <v>339</v>
      </c>
      <c r="G52" s="391" t="s">
        <v>477</v>
      </c>
      <c r="H52" s="461">
        <v>5220000</v>
      </c>
      <c r="I52" s="462">
        <v>2085860</v>
      </c>
      <c r="J52" s="461">
        <v>2000000</v>
      </c>
      <c r="K52" s="457">
        <f>I52/H52*100</f>
        <v>39.959003831417625</v>
      </c>
    </row>
    <row r="53" spans="2:11" ht="45">
      <c r="B53" s="390" t="s">
        <v>220</v>
      </c>
      <c r="C53" s="391" t="s">
        <v>219</v>
      </c>
      <c r="D53" s="391" t="s">
        <v>192</v>
      </c>
      <c r="E53" s="393" t="s">
        <v>358</v>
      </c>
      <c r="F53" s="393" t="s">
        <v>491</v>
      </c>
      <c r="G53" s="391" t="s">
        <v>477</v>
      </c>
      <c r="H53" s="461">
        <v>5062998</v>
      </c>
      <c r="I53" s="462">
        <v>5062998</v>
      </c>
      <c r="J53" s="461">
        <v>5015000</v>
      </c>
      <c r="K53" s="457">
        <f>I53/H53*100</f>
        <v>100</v>
      </c>
    </row>
    <row r="54" spans="2:11" ht="45">
      <c r="B54" s="390" t="s">
        <v>220</v>
      </c>
      <c r="C54" s="391" t="s">
        <v>219</v>
      </c>
      <c r="D54" s="391" t="s">
        <v>192</v>
      </c>
      <c r="E54" s="393" t="s">
        <v>358</v>
      </c>
      <c r="F54" s="393" t="s">
        <v>492</v>
      </c>
      <c r="G54" s="391" t="s">
        <v>477</v>
      </c>
      <c r="H54" s="461">
        <v>1570000</v>
      </c>
      <c r="I54" s="462">
        <v>1500000</v>
      </c>
      <c r="J54" s="461">
        <v>1500000</v>
      </c>
      <c r="K54" s="457">
        <f>I54/H54*100</f>
        <v>95.54140127388536</v>
      </c>
    </row>
    <row r="55" spans="2:11" ht="38.25" customHeight="1">
      <c r="B55" s="390" t="s">
        <v>220</v>
      </c>
      <c r="C55" s="391" t="s">
        <v>219</v>
      </c>
      <c r="D55" s="391" t="s">
        <v>192</v>
      </c>
      <c r="E55" s="393" t="s">
        <v>358</v>
      </c>
      <c r="F55" s="393" t="s">
        <v>493</v>
      </c>
      <c r="G55" s="391" t="s">
        <v>477</v>
      </c>
      <c r="H55" s="461">
        <v>270000</v>
      </c>
      <c r="I55" s="462">
        <v>200000</v>
      </c>
      <c r="J55" s="461">
        <v>200000</v>
      </c>
      <c r="K55" s="457">
        <f aca="true" t="shared" si="0" ref="K55:K61">I55/H55*100</f>
        <v>74.07407407407408</v>
      </c>
    </row>
    <row r="56" spans="2:11" ht="45">
      <c r="B56" s="390" t="s">
        <v>220</v>
      </c>
      <c r="C56" s="391" t="s">
        <v>219</v>
      </c>
      <c r="D56" s="391" t="s">
        <v>192</v>
      </c>
      <c r="E56" s="393" t="s">
        <v>358</v>
      </c>
      <c r="F56" s="393" t="s">
        <v>494</v>
      </c>
      <c r="G56" s="391" t="s">
        <v>477</v>
      </c>
      <c r="H56" s="461">
        <v>270000</v>
      </c>
      <c r="I56" s="462">
        <v>200000</v>
      </c>
      <c r="J56" s="461">
        <v>200000</v>
      </c>
      <c r="K56" s="457">
        <f t="shared" si="0"/>
        <v>74.07407407407408</v>
      </c>
    </row>
    <row r="57" spans="2:11" ht="30">
      <c r="B57" s="390" t="s">
        <v>220</v>
      </c>
      <c r="C57" s="391" t="s">
        <v>219</v>
      </c>
      <c r="D57" s="391" t="s">
        <v>192</v>
      </c>
      <c r="E57" s="393" t="s">
        <v>358</v>
      </c>
      <c r="F57" s="393" t="s">
        <v>495</v>
      </c>
      <c r="G57" s="391" t="s">
        <v>477</v>
      </c>
      <c r="H57" s="461">
        <v>270000</v>
      </c>
      <c r="I57" s="462">
        <v>200000</v>
      </c>
      <c r="J57" s="461">
        <v>200000</v>
      </c>
      <c r="K57" s="457">
        <f t="shared" si="0"/>
        <v>74.07407407407408</v>
      </c>
    </row>
    <row r="58" spans="2:11" ht="30">
      <c r="B58" s="390" t="s">
        <v>220</v>
      </c>
      <c r="C58" s="391" t="s">
        <v>219</v>
      </c>
      <c r="D58" s="391" t="s">
        <v>192</v>
      </c>
      <c r="E58" s="393" t="s">
        <v>358</v>
      </c>
      <c r="F58" s="393" t="s">
        <v>496</v>
      </c>
      <c r="G58" s="391" t="s">
        <v>477</v>
      </c>
      <c r="H58" s="461">
        <v>270000</v>
      </c>
      <c r="I58" s="462">
        <v>200000</v>
      </c>
      <c r="J58" s="461">
        <v>200000</v>
      </c>
      <c r="K58" s="457">
        <f t="shared" si="0"/>
        <v>74.07407407407408</v>
      </c>
    </row>
    <row r="59" spans="2:11" ht="30">
      <c r="B59" s="390" t="s">
        <v>220</v>
      </c>
      <c r="C59" s="391" t="s">
        <v>219</v>
      </c>
      <c r="D59" s="391" t="s">
        <v>192</v>
      </c>
      <c r="E59" s="393" t="s">
        <v>358</v>
      </c>
      <c r="F59" s="393" t="s">
        <v>497</v>
      </c>
      <c r="G59" s="391" t="s">
        <v>477</v>
      </c>
      <c r="H59" s="461">
        <v>270000</v>
      </c>
      <c r="I59" s="462">
        <v>200000</v>
      </c>
      <c r="J59" s="461">
        <v>200000</v>
      </c>
      <c r="K59" s="457">
        <f t="shared" si="0"/>
        <v>74.07407407407408</v>
      </c>
    </row>
    <row r="60" spans="2:11" ht="30">
      <c r="B60" s="390" t="s">
        <v>220</v>
      </c>
      <c r="C60" s="391" t="s">
        <v>219</v>
      </c>
      <c r="D60" s="391" t="s">
        <v>192</v>
      </c>
      <c r="E60" s="393" t="s">
        <v>358</v>
      </c>
      <c r="F60" s="393" t="s">
        <v>498</v>
      </c>
      <c r="G60" s="391" t="s">
        <v>477</v>
      </c>
      <c r="H60" s="461">
        <v>940000</v>
      </c>
      <c r="I60" s="462">
        <v>870000</v>
      </c>
      <c r="J60" s="461">
        <v>870000</v>
      </c>
      <c r="K60" s="457">
        <f t="shared" si="0"/>
        <v>92.5531914893617</v>
      </c>
    </row>
    <row r="61" spans="2:11" ht="45">
      <c r="B61" s="390" t="s">
        <v>220</v>
      </c>
      <c r="C61" s="391" t="s">
        <v>219</v>
      </c>
      <c r="D61" s="391" t="s">
        <v>192</v>
      </c>
      <c r="E61" s="393" t="s">
        <v>358</v>
      </c>
      <c r="F61" s="393" t="s">
        <v>499</v>
      </c>
      <c r="G61" s="391">
        <v>2022</v>
      </c>
      <c r="H61" s="461">
        <v>1640000</v>
      </c>
      <c r="I61" s="462">
        <v>1640000</v>
      </c>
      <c r="J61" s="461">
        <v>1640000</v>
      </c>
      <c r="K61" s="457">
        <f t="shared" si="0"/>
        <v>100</v>
      </c>
    </row>
    <row r="62" spans="2:11" ht="45">
      <c r="B62" s="390" t="s">
        <v>220</v>
      </c>
      <c r="C62" s="391" t="s">
        <v>219</v>
      </c>
      <c r="D62" s="391" t="s">
        <v>192</v>
      </c>
      <c r="E62" s="393" t="s">
        <v>358</v>
      </c>
      <c r="F62" s="393" t="s">
        <v>360</v>
      </c>
      <c r="G62" s="391" t="s">
        <v>477</v>
      </c>
      <c r="H62" s="461"/>
      <c r="I62" s="462">
        <v>68040</v>
      </c>
      <c r="J62" s="461">
        <v>34020</v>
      </c>
      <c r="K62" s="424"/>
    </row>
    <row r="63" spans="2:11" ht="45">
      <c r="B63" s="390" t="s">
        <v>220</v>
      </c>
      <c r="C63" s="391" t="s">
        <v>219</v>
      </c>
      <c r="D63" s="391" t="s">
        <v>192</v>
      </c>
      <c r="E63" s="393" t="s">
        <v>358</v>
      </c>
      <c r="F63" s="393" t="s">
        <v>500</v>
      </c>
      <c r="G63" s="391" t="s">
        <v>477</v>
      </c>
      <c r="H63" s="461"/>
      <c r="I63" s="462">
        <v>62678</v>
      </c>
      <c r="J63" s="461">
        <v>15000</v>
      </c>
      <c r="K63" s="424"/>
    </row>
    <row r="64" spans="2:11" ht="30">
      <c r="B64" s="390" t="s">
        <v>220</v>
      </c>
      <c r="C64" s="391" t="s">
        <v>219</v>
      </c>
      <c r="D64" s="391" t="s">
        <v>192</v>
      </c>
      <c r="E64" s="393" t="s">
        <v>358</v>
      </c>
      <c r="F64" s="393" t="s">
        <v>361</v>
      </c>
      <c r="G64" s="391" t="s">
        <v>477</v>
      </c>
      <c r="H64" s="461"/>
      <c r="I64" s="462">
        <v>77760</v>
      </c>
      <c r="J64" s="461">
        <v>38880</v>
      </c>
      <c r="K64" s="424"/>
    </row>
    <row r="65" spans="2:11" ht="45">
      <c r="B65" s="390" t="s">
        <v>220</v>
      </c>
      <c r="C65" s="391" t="s">
        <v>219</v>
      </c>
      <c r="D65" s="391" t="s">
        <v>192</v>
      </c>
      <c r="E65" s="393" t="s">
        <v>358</v>
      </c>
      <c r="F65" s="393" t="s">
        <v>363</v>
      </c>
      <c r="G65" s="391" t="s">
        <v>477</v>
      </c>
      <c r="H65" s="461"/>
      <c r="I65" s="462">
        <v>74520</v>
      </c>
      <c r="J65" s="461">
        <v>37260</v>
      </c>
      <c r="K65" s="424"/>
    </row>
    <row r="66" spans="2:11" ht="30">
      <c r="B66" s="390" t="s">
        <v>220</v>
      </c>
      <c r="C66" s="391" t="s">
        <v>219</v>
      </c>
      <c r="D66" s="391" t="s">
        <v>192</v>
      </c>
      <c r="E66" s="393" t="s">
        <v>358</v>
      </c>
      <c r="F66" s="393" t="s">
        <v>551</v>
      </c>
      <c r="G66" s="391">
        <v>2022</v>
      </c>
      <c r="H66" s="461"/>
      <c r="I66" s="462">
        <v>200000</v>
      </c>
      <c r="J66" s="461">
        <v>200000</v>
      </c>
      <c r="K66" s="424"/>
    </row>
    <row r="67" spans="2:11" ht="28.5">
      <c r="B67" s="419">
        <v>1517340</v>
      </c>
      <c r="C67" s="420">
        <v>7340</v>
      </c>
      <c r="D67" s="420" t="s">
        <v>192</v>
      </c>
      <c r="E67" s="421" t="s">
        <v>501</v>
      </c>
      <c r="F67" s="425"/>
      <c r="G67" s="391"/>
      <c r="H67" s="466">
        <f>SUM(H68:H69)</f>
        <v>0</v>
      </c>
      <c r="I67" s="459">
        <v>1498360</v>
      </c>
      <c r="J67" s="466">
        <f>SUM(J68:J69)</f>
        <v>838700</v>
      </c>
      <c r="K67" s="391"/>
    </row>
    <row r="68" spans="2:11" ht="90">
      <c r="B68" s="390">
        <v>1517340</v>
      </c>
      <c r="C68" s="391">
        <v>7340</v>
      </c>
      <c r="D68" s="249" t="s">
        <v>192</v>
      </c>
      <c r="E68" s="393" t="s">
        <v>501</v>
      </c>
      <c r="F68" s="426" t="s">
        <v>555</v>
      </c>
      <c r="G68" s="391">
        <v>2022</v>
      </c>
      <c r="H68" s="461"/>
      <c r="I68" s="462">
        <v>93360</v>
      </c>
      <c r="J68" s="461">
        <v>93360</v>
      </c>
      <c r="K68" s="391"/>
    </row>
    <row r="69" spans="2:11" ht="75">
      <c r="B69" s="390">
        <v>1517340</v>
      </c>
      <c r="C69" s="391">
        <v>7340</v>
      </c>
      <c r="D69" s="249" t="s">
        <v>192</v>
      </c>
      <c r="E69" s="393" t="s">
        <v>501</v>
      </c>
      <c r="F69" s="423" t="s">
        <v>571</v>
      </c>
      <c r="G69" s="391" t="s">
        <v>477</v>
      </c>
      <c r="H69" s="461"/>
      <c r="I69" s="462">
        <v>1405000</v>
      </c>
      <c r="J69" s="461">
        <v>745340</v>
      </c>
      <c r="K69" s="453"/>
    </row>
    <row r="70" spans="2:11" ht="15">
      <c r="B70" s="419">
        <v>1517441</v>
      </c>
      <c r="C70" s="420">
        <v>7441</v>
      </c>
      <c r="D70" s="420" t="s">
        <v>3</v>
      </c>
      <c r="E70" s="421" t="s">
        <v>502</v>
      </c>
      <c r="F70" s="427"/>
      <c r="G70" s="391"/>
      <c r="H70" s="460">
        <f>H71</f>
        <v>34800000</v>
      </c>
      <c r="I70" s="460">
        <f>I71</f>
        <v>10934411.35</v>
      </c>
      <c r="J70" s="460">
        <f>J71</f>
        <v>10450000</v>
      </c>
      <c r="K70" s="391"/>
    </row>
    <row r="71" spans="2:11" ht="30">
      <c r="B71" s="390">
        <v>1517441</v>
      </c>
      <c r="C71" s="391">
        <v>7441</v>
      </c>
      <c r="D71" s="391" t="s">
        <v>3</v>
      </c>
      <c r="E71" s="393" t="s">
        <v>502</v>
      </c>
      <c r="F71" s="393" t="s">
        <v>503</v>
      </c>
      <c r="G71" s="391" t="s">
        <v>477</v>
      </c>
      <c r="H71" s="461">
        <v>34800000</v>
      </c>
      <c r="I71" s="462">
        <v>10934411.35</v>
      </c>
      <c r="J71" s="461">
        <v>10450000</v>
      </c>
      <c r="K71" s="457">
        <f>I71/H71*100</f>
        <v>31.420722270114943</v>
      </c>
    </row>
    <row r="72" spans="2:11" ht="71.25">
      <c r="B72" s="419" t="s">
        <v>473</v>
      </c>
      <c r="C72" s="420" t="s">
        <v>2</v>
      </c>
      <c r="D72" s="420" t="s">
        <v>3</v>
      </c>
      <c r="E72" s="458" t="s">
        <v>504</v>
      </c>
      <c r="F72" s="391"/>
      <c r="G72" s="391"/>
      <c r="H72" s="460">
        <f>SUM(H73:H81)</f>
        <v>44780906</v>
      </c>
      <c r="I72" s="460">
        <f>SUM(I73:I81)</f>
        <v>33363205</v>
      </c>
      <c r="J72" s="460">
        <f>SUM(J73:J81)</f>
        <v>33256072</v>
      </c>
      <c r="K72" s="391"/>
    </row>
    <row r="73" spans="2:11" ht="60">
      <c r="B73" s="390" t="s">
        <v>473</v>
      </c>
      <c r="C73" s="391" t="s">
        <v>2</v>
      </c>
      <c r="D73" s="391" t="s">
        <v>3</v>
      </c>
      <c r="E73" s="426" t="s">
        <v>562</v>
      </c>
      <c r="F73" s="423" t="s">
        <v>505</v>
      </c>
      <c r="G73" s="391" t="s">
        <v>477</v>
      </c>
      <c r="H73" s="461">
        <v>5501111</v>
      </c>
      <c r="I73" s="462">
        <v>159569</v>
      </c>
      <c r="J73" s="461">
        <v>100000</v>
      </c>
      <c r="K73" s="457">
        <f aca="true" t="shared" si="1" ref="K73:K81">I73/H73*100</f>
        <v>2.9006686103952455</v>
      </c>
    </row>
    <row r="74" spans="2:11" ht="75">
      <c r="B74" s="390" t="s">
        <v>473</v>
      </c>
      <c r="C74" s="391" t="s">
        <v>2</v>
      </c>
      <c r="D74" s="391" t="s">
        <v>3</v>
      </c>
      <c r="E74" s="426" t="s">
        <v>504</v>
      </c>
      <c r="F74" s="393" t="s">
        <v>510</v>
      </c>
      <c r="G74" s="391" t="s">
        <v>477</v>
      </c>
      <c r="H74" s="461">
        <v>600000</v>
      </c>
      <c r="I74" s="462">
        <v>600000</v>
      </c>
      <c r="J74" s="461">
        <v>600000</v>
      </c>
      <c r="K74" s="457">
        <f t="shared" si="1"/>
        <v>100</v>
      </c>
    </row>
    <row r="75" spans="2:11" ht="90">
      <c r="B75" s="390" t="s">
        <v>473</v>
      </c>
      <c r="C75" s="391" t="s">
        <v>2</v>
      </c>
      <c r="D75" s="391" t="s">
        <v>3</v>
      </c>
      <c r="E75" s="426" t="s">
        <v>504</v>
      </c>
      <c r="F75" s="423" t="s">
        <v>512</v>
      </c>
      <c r="G75" s="391" t="s">
        <v>477</v>
      </c>
      <c r="H75" s="461"/>
      <c r="I75" s="462">
        <v>300000</v>
      </c>
      <c r="J75" s="461">
        <v>300000</v>
      </c>
      <c r="K75" s="391"/>
    </row>
    <row r="76" spans="2:11" ht="75">
      <c r="B76" s="390" t="s">
        <v>473</v>
      </c>
      <c r="C76" s="391" t="s">
        <v>2</v>
      </c>
      <c r="D76" s="391" t="s">
        <v>3</v>
      </c>
      <c r="E76" s="426" t="s">
        <v>504</v>
      </c>
      <c r="F76" s="393" t="s">
        <v>506</v>
      </c>
      <c r="G76" s="391">
        <v>2022</v>
      </c>
      <c r="H76" s="461">
        <v>13779854</v>
      </c>
      <c r="I76" s="462">
        <v>9921495</v>
      </c>
      <c r="J76" s="461">
        <v>9921495</v>
      </c>
      <c r="K76" s="457">
        <f t="shared" si="1"/>
        <v>72.00000087083652</v>
      </c>
    </row>
    <row r="77" spans="2:11" ht="75">
      <c r="B77" s="390" t="s">
        <v>473</v>
      </c>
      <c r="C77" s="391" t="s">
        <v>2</v>
      </c>
      <c r="D77" s="391" t="s">
        <v>3</v>
      </c>
      <c r="E77" s="393" t="s">
        <v>504</v>
      </c>
      <c r="F77" s="393" t="s">
        <v>507</v>
      </c>
      <c r="G77" s="391">
        <v>2022</v>
      </c>
      <c r="H77" s="461">
        <v>3941508</v>
      </c>
      <c r="I77" s="462">
        <v>2837885</v>
      </c>
      <c r="J77" s="461">
        <v>2837885</v>
      </c>
      <c r="K77" s="457">
        <f t="shared" si="1"/>
        <v>71.99998071803991</v>
      </c>
    </row>
    <row r="78" spans="2:11" ht="75">
      <c r="B78" s="390" t="s">
        <v>473</v>
      </c>
      <c r="C78" s="391" t="s">
        <v>2</v>
      </c>
      <c r="D78" s="391" t="s">
        <v>3</v>
      </c>
      <c r="E78" s="423" t="s">
        <v>504</v>
      </c>
      <c r="F78" s="393" t="s">
        <v>509</v>
      </c>
      <c r="G78" s="391">
        <v>2022</v>
      </c>
      <c r="H78" s="461">
        <v>12472306</v>
      </c>
      <c r="I78" s="462">
        <v>11058129</v>
      </c>
      <c r="J78" s="461">
        <v>11058129</v>
      </c>
      <c r="K78" s="457">
        <f t="shared" si="1"/>
        <v>88.66146324504867</v>
      </c>
    </row>
    <row r="79" spans="2:11" ht="75">
      <c r="B79" s="390" t="s">
        <v>473</v>
      </c>
      <c r="C79" s="391" t="s">
        <v>2</v>
      </c>
      <c r="D79" s="391" t="s">
        <v>3</v>
      </c>
      <c r="E79" s="423" t="s">
        <v>504</v>
      </c>
      <c r="F79" s="393" t="s">
        <v>508</v>
      </c>
      <c r="G79" s="391">
        <v>2022</v>
      </c>
      <c r="H79" s="461">
        <v>5461309</v>
      </c>
      <c r="I79" s="462">
        <v>5461309</v>
      </c>
      <c r="J79" s="461">
        <v>5461309</v>
      </c>
      <c r="K79" s="457">
        <f t="shared" si="1"/>
        <v>100</v>
      </c>
    </row>
    <row r="80" spans="2:11" ht="75">
      <c r="B80" s="390" t="s">
        <v>473</v>
      </c>
      <c r="C80" s="391" t="s">
        <v>2</v>
      </c>
      <c r="D80" s="391" t="s">
        <v>3</v>
      </c>
      <c r="E80" s="423" t="s">
        <v>504</v>
      </c>
      <c r="F80" s="393" t="s">
        <v>513</v>
      </c>
      <c r="G80" s="391" t="s">
        <v>477</v>
      </c>
      <c r="H80" s="461">
        <v>439818</v>
      </c>
      <c r="I80" s="462">
        <v>439818</v>
      </c>
      <c r="J80" s="461">
        <v>392254</v>
      </c>
      <c r="K80" s="457">
        <f t="shared" si="1"/>
        <v>100</v>
      </c>
    </row>
    <row r="81" spans="2:11" ht="75">
      <c r="B81" s="390" t="s">
        <v>473</v>
      </c>
      <c r="C81" s="391" t="s">
        <v>2</v>
      </c>
      <c r="D81" s="391" t="s">
        <v>3</v>
      </c>
      <c r="E81" s="423" t="s">
        <v>504</v>
      </c>
      <c r="F81" s="393" t="s">
        <v>511</v>
      </c>
      <c r="G81" s="391" t="s">
        <v>477</v>
      </c>
      <c r="H81" s="461">
        <v>2585000</v>
      </c>
      <c r="I81" s="462">
        <v>2585000</v>
      </c>
      <c r="J81" s="461">
        <v>2585000</v>
      </c>
      <c r="K81" s="457">
        <f t="shared" si="1"/>
        <v>100</v>
      </c>
    </row>
    <row r="82" spans="2:11" ht="12.75">
      <c r="B82" s="390" t="s">
        <v>436</v>
      </c>
      <c r="C82" s="390" t="s">
        <v>436</v>
      </c>
      <c r="D82" s="390" t="s">
        <v>436</v>
      </c>
      <c r="E82" s="390" t="s">
        <v>232</v>
      </c>
      <c r="F82" s="390" t="s">
        <v>436</v>
      </c>
      <c r="G82" s="390" t="s">
        <v>436</v>
      </c>
      <c r="H82" s="467">
        <f>H26+H15</f>
        <v>247039660</v>
      </c>
      <c r="I82" s="467">
        <f>I26+I15</f>
        <v>159232556.01</v>
      </c>
      <c r="J82" s="467">
        <f>J26+J15</f>
        <v>86616849</v>
      </c>
      <c r="K82" s="390" t="s">
        <v>436</v>
      </c>
    </row>
    <row r="83" ht="15.75">
      <c r="B83" s="428"/>
    </row>
    <row r="86" spans="1:8" s="1" customFormat="1" ht="15.75">
      <c r="A86" s="468" t="s">
        <v>569</v>
      </c>
      <c r="B86" s="468"/>
      <c r="C86" s="468"/>
      <c r="D86" s="468"/>
      <c r="E86" s="9"/>
      <c r="F86" s="223"/>
      <c r="G86" s="304"/>
      <c r="H86" s="9" t="s">
        <v>570</v>
      </c>
    </row>
    <row r="92" ht="12.75">
      <c r="J92" s="395">
        <v>86616848</v>
      </c>
    </row>
  </sheetData>
  <sheetProtection/>
  <autoFilter ref="B14:P82"/>
  <mergeCells count="5">
    <mergeCell ref="B6:K6"/>
    <mergeCell ref="B7:K7"/>
    <mergeCell ref="B8:K8"/>
    <mergeCell ref="G1:L3"/>
    <mergeCell ref="H4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view="pageBreakPreview" zoomScale="75" zoomScaleNormal="75" zoomScaleSheetLayoutView="75" zoomScalePageLayoutView="0" workbookViewId="0" topLeftCell="A1">
      <selection activeCell="G2" sqref="G2:J2"/>
    </sheetView>
  </sheetViews>
  <sheetFormatPr defaultColWidth="9.00390625" defaultRowHeight="12.75"/>
  <cols>
    <col min="1" max="1" width="3.25390625" style="7" customWidth="1"/>
    <col min="2" max="2" width="17.375" style="28" customWidth="1"/>
    <col min="3" max="3" width="19.25390625" style="28" customWidth="1"/>
    <col min="4" max="4" width="21.875" style="28" customWidth="1"/>
    <col min="5" max="5" width="57.875" style="28" customWidth="1"/>
    <col min="6" max="6" width="61.25390625" style="144" customWidth="1"/>
    <col min="7" max="7" width="18.125" style="28" customWidth="1"/>
    <col min="8" max="8" width="19.625" style="28" customWidth="1"/>
    <col min="9" max="9" width="16.625" style="8" customWidth="1"/>
    <col min="10" max="10" width="21.125" style="9" customWidth="1"/>
    <col min="11" max="11" width="1.37890625" style="9" customWidth="1"/>
    <col min="12" max="12" width="12.75390625" style="9" customWidth="1"/>
    <col min="13" max="13" width="7.00390625" style="9" customWidth="1"/>
    <col min="14" max="14" width="7.875" style="9" customWidth="1"/>
    <col min="15" max="16384" width="9.125" style="9" customWidth="1"/>
  </cols>
  <sheetData>
    <row r="1" spans="2:8" ht="9.75" customHeight="1">
      <c r="B1" s="531"/>
      <c r="C1" s="531"/>
      <c r="D1" s="531"/>
      <c r="E1" s="531"/>
      <c r="F1" s="531"/>
      <c r="G1" s="531"/>
      <c r="H1" s="531"/>
    </row>
    <row r="2" spans="2:10" ht="88.5" customHeight="1">
      <c r="B2" s="211"/>
      <c r="C2" s="211"/>
      <c r="D2" s="211"/>
      <c r="E2" s="211"/>
      <c r="F2" s="211"/>
      <c r="G2" s="533" t="s">
        <v>572</v>
      </c>
      <c r="H2" s="533"/>
      <c r="I2" s="533"/>
      <c r="J2" s="533"/>
    </row>
    <row r="3" spans="2:10" ht="16.5" customHeight="1">
      <c r="B3" s="211"/>
      <c r="C3" s="211"/>
      <c r="D3" s="211"/>
      <c r="E3" s="211"/>
      <c r="F3" s="211"/>
      <c r="G3" s="213"/>
      <c r="H3" s="213"/>
      <c r="I3" s="213"/>
      <c r="J3" s="213"/>
    </row>
    <row r="4" spans="2:10" ht="39.75" customHeight="1">
      <c r="B4" s="529" t="s">
        <v>552</v>
      </c>
      <c r="C4" s="529"/>
      <c r="D4" s="529"/>
      <c r="E4" s="529"/>
      <c r="F4" s="529"/>
      <c r="G4" s="529"/>
      <c r="H4" s="529"/>
      <c r="I4" s="529"/>
      <c r="J4" s="529"/>
    </row>
    <row r="5" spans="2:10" ht="19.5" customHeight="1">
      <c r="B5" s="214"/>
      <c r="C5" s="214"/>
      <c r="D5" s="214"/>
      <c r="E5" s="528" t="s">
        <v>288</v>
      </c>
      <c r="F5" s="528"/>
      <c r="G5" s="214"/>
      <c r="H5" s="214"/>
      <c r="I5" s="215"/>
      <c r="J5" s="154"/>
    </row>
    <row r="6" spans="2:10" ht="23.25" customHeight="1">
      <c r="B6" s="214"/>
      <c r="C6" s="214"/>
      <c r="D6" s="214"/>
      <c r="E6" s="220" t="s">
        <v>270</v>
      </c>
      <c r="F6" s="214"/>
      <c r="G6" s="214"/>
      <c r="H6" s="214"/>
      <c r="I6" s="215"/>
      <c r="J6" s="216" t="s">
        <v>69</v>
      </c>
    </row>
    <row r="7" spans="1:10" ht="19.5" customHeight="1">
      <c r="A7" s="31"/>
      <c r="B7" s="532" t="s">
        <v>239</v>
      </c>
      <c r="C7" s="532" t="s">
        <v>240</v>
      </c>
      <c r="D7" s="532" t="s">
        <v>241</v>
      </c>
      <c r="E7" s="532" t="s">
        <v>273</v>
      </c>
      <c r="F7" s="472" t="s">
        <v>235</v>
      </c>
      <c r="G7" s="472" t="s">
        <v>232</v>
      </c>
      <c r="H7" s="472" t="s">
        <v>55</v>
      </c>
      <c r="I7" s="472" t="s">
        <v>56</v>
      </c>
      <c r="J7" s="472"/>
    </row>
    <row r="8" spans="1:10" s="33" customFormat="1" ht="81.75" customHeight="1">
      <c r="A8" s="32"/>
      <c r="B8" s="532"/>
      <c r="C8" s="532"/>
      <c r="D8" s="532"/>
      <c r="E8" s="532"/>
      <c r="F8" s="472"/>
      <c r="G8" s="472"/>
      <c r="H8" s="472"/>
      <c r="I8" s="227" t="s">
        <v>233</v>
      </c>
      <c r="J8" s="227" t="s">
        <v>236</v>
      </c>
    </row>
    <row r="9" spans="1:10" s="33" customFormat="1" ht="21.75" customHeight="1">
      <c r="A9" s="32"/>
      <c r="B9" s="110">
        <v>1</v>
      </c>
      <c r="C9" s="110">
        <f aca="true" t="shared" si="0" ref="C9:J9">B9+1</f>
        <v>2</v>
      </c>
      <c r="D9" s="110">
        <f t="shared" si="0"/>
        <v>3</v>
      </c>
      <c r="E9" s="110">
        <f t="shared" si="0"/>
        <v>4</v>
      </c>
      <c r="F9" s="110">
        <f t="shared" si="0"/>
        <v>5</v>
      </c>
      <c r="G9" s="110">
        <f t="shared" si="0"/>
        <v>6</v>
      </c>
      <c r="H9" s="110">
        <f t="shared" si="0"/>
        <v>7</v>
      </c>
      <c r="I9" s="110">
        <f t="shared" si="0"/>
        <v>8</v>
      </c>
      <c r="J9" s="110">
        <f t="shared" si="0"/>
        <v>9</v>
      </c>
    </row>
    <row r="10" spans="1:10" s="71" customFormat="1" ht="33.75" customHeight="1">
      <c r="A10" s="81"/>
      <c r="B10" s="129" t="s">
        <v>257</v>
      </c>
      <c r="C10" s="129" t="s">
        <v>258</v>
      </c>
      <c r="D10" s="58"/>
      <c r="E10" s="131" t="s">
        <v>255</v>
      </c>
      <c r="F10" s="217"/>
      <c r="G10" s="369">
        <f>G11</f>
        <v>28833131</v>
      </c>
      <c r="H10" s="369">
        <f>H11</f>
        <v>18158131</v>
      </c>
      <c r="I10" s="369">
        <f>I11</f>
        <v>10675000</v>
      </c>
      <c r="J10" s="369">
        <f>J11</f>
        <v>10675000</v>
      </c>
    </row>
    <row r="11" spans="1:10" s="13" customFormat="1" ht="38.25" customHeight="1">
      <c r="A11" s="27"/>
      <c r="B11" s="129" t="s">
        <v>260</v>
      </c>
      <c r="C11" s="129"/>
      <c r="D11" s="58"/>
      <c r="E11" s="131" t="s">
        <v>256</v>
      </c>
      <c r="F11" s="218"/>
      <c r="G11" s="369">
        <f>SUM(G12:G24)</f>
        <v>28833131</v>
      </c>
      <c r="H11" s="369">
        <f>SUM(H12:H24)</f>
        <v>18158131</v>
      </c>
      <c r="I11" s="369">
        <f>SUM(I12:I24)</f>
        <v>10675000</v>
      </c>
      <c r="J11" s="369">
        <f>SUM(J12:J24)</f>
        <v>10675000</v>
      </c>
    </row>
    <row r="12" spans="2:10" ht="46.5" customHeight="1">
      <c r="B12" s="522" t="s">
        <v>261</v>
      </c>
      <c r="C12" s="524" t="s">
        <v>51</v>
      </c>
      <c r="D12" s="524" t="s">
        <v>42</v>
      </c>
      <c r="E12" s="534" t="s">
        <v>165</v>
      </c>
      <c r="F12" s="358" t="s">
        <v>401</v>
      </c>
      <c r="G12" s="238">
        <f>H12+I12</f>
        <v>800000</v>
      </c>
      <c r="H12" s="238">
        <v>800000</v>
      </c>
      <c r="I12" s="370"/>
      <c r="J12" s="370"/>
    </row>
    <row r="13" spans="2:10" ht="54" customHeight="1">
      <c r="B13" s="523"/>
      <c r="C13" s="525"/>
      <c r="D13" s="525"/>
      <c r="E13" s="527"/>
      <c r="F13" s="363" t="s">
        <v>402</v>
      </c>
      <c r="G13" s="238">
        <f aca="true" t="shared" si="1" ref="G13:G24">H13+I13</f>
        <v>1047000</v>
      </c>
      <c r="H13" s="238">
        <v>1047000</v>
      </c>
      <c r="I13" s="370"/>
      <c r="J13" s="370"/>
    </row>
    <row r="14" spans="2:10" ht="40.5" customHeight="1">
      <c r="B14" s="359" t="s">
        <v>309</v>
      </c>
      <c r="C14" s="359" t="s">
        <v>208</v>
      </c>
      <c r="D14" s="246" t="s">
        <v>50</v>
      </c>
      <c r="E14" s="363" t="s">
        <v>209</v>
      </c>
      <c r="F14" s="535" t="s">
        <v>437</v>
      </c>
      <c r="G14" s="371">
        <f t="shared" si="1"/>
        <v>1000000</v>
      </c>
      <c r="H14" s="238">
        <v>1000000</v>
      </c>
      <c r="I14" s="370"/>
      <c r="J14" s="371"/>
    </row>
    <row r="15" spans="2:10" ht="39.75" customHeight="1">
      <c r="B15" s="359" t="s">
        <v>310</v>
      </c>
      <c r="C15" s="359" t="s">
        <v>15</v>
      </c>
      <c r="D15" s="246" t="s">
        <v>50</v>
      </c>
      <c r="E15" s="363" t="s">
        <v>14</v>
      </c>
      <c r="F15" s="535"/>
      <c r="G15" s="371">
        <f t="shared" si="1"/>
        <v>9400000</v>
      </c>
      <c r="H15" s="238">
        <f>9400000</f>
        <v>9400000</v>
      </c>
      <c r="I15" s="370"/>
      <c r="J15" s="370"/>
    </row>
    <row r="16" spans="2:10" ht="54.75" customHeight="1">
      <c r="B16" s="359" t="s">
        <v>310</v>
      </c>
      <c r="C16" s="359" t="s">
        <v>15</v>
      </c>
      <c r="D16" s="246" t="s">
        <v>50</v>
      </c>
      <c r="E16" s="363" t="s">
        <v>14</v>
      </c>
      <c r="F16" s="363" t="s">
        <v>438</v>
      </c>
      <c r="G16" s="371">
        <f>H16+I16</f>
        <v>12011875</v>
      </c>
      <c r="H16" s="238">
        <f>474000+987875</f>
        <v>1461875</v>
      </c>
      <c r="I16" s="370">
        <v>10550000</v>
      </c>
      <c r="J16" s="370">
        <v>10550000</v>
      </c>
    </row>
    <row r="17" spans="2:10" ht="37.5" customHeight="1">
      <c r="B17" s="359" t="s">
        <v>262</v>
      </c>
      <c r="C17" s="359" t="s">
        <v>58</v>
      </c>
      <c r="D17" s="360" t="s">
        <v>36</v>
      </c>
      <c r="E17" s="363" t="s">
        <v>30</v>
      </c>
      <c r="F17" s="233" t="s">
        <v>403</v>
      </c>
      <c r="G17" s="238">
        <f t="shared" si="1"/>
        <v>500000</v>
      </c>
      <c r="H17" s="238">
        <v>400000</v>
      </c>
      <c r="I17" s="370">
        <v>100000</v>
      </c>
      <c r="J17" s="370">
        <v>100000</v>
      </c>
    </row>
    <row r="18" spans="2:10" ht="48" customHeight="1">
      <c r="B18" s="522" t="s">
        <v>263</v>
      </c>
      <c r="C18" s="522" t="s">
        <v>7</v>
      </c>
      <c r="D18" s="524" t="s">
        <v>24</v>
      </c>
      <c r="E18" s="526" t="s">
        <v>25</v>
      </c>
      <c r="F18" s="358" t="s">
        <v>404</v>
      </c>
      <c r="G18" s="238">
        <f t="shared" si="1"/>
        <v>60100</v>
      </c>
      <c r="H18" s="238">
        <v>60100</v>
      </c>
      <c r="I18" s="370"/>
      <c r="J18" s="370"/>
    </row>
    <row r="19" spans="2:10" ht="40.5" customHeight="1">
      <c r="B19" s="523"/>
      <c r="C19" s="523"/>
      <c r="D19" s="525"/>
      <c r="E19" s="527"/>
      <c r="F19" s="358" t="s">
        <v>414</v>
      </c>
      <c r="G19" s="238">
        <f t="shared" si="1"/>
        <v>30000</v>
      </c>
      <c r="H19" s="238">
        <v>30000</v>
      </c>
      <c r="I19" s="370"/>
      <c r="J19" s="370"/>
    </row>
    <row r="20" spans="2:10" ht="39" customHeight="1">
      <c r="B20" s="359" t="s">
        <v>264</v>
      </c>
      <c r="C20" s="359" t="s">
        <v>8</v>
      </c>
      <c r="D20" s="360" t="s">
        <v>40</v>
      </c>
      <c r="E20" s="363" t="s">
        <v>9</v>
      </c>
      <c r="F20" s="363" t="s">
        <v>405</v>
      </c>
      <c r="G20" s="238">
        <f t="shared" si="1"/>
        <v>1848000</v>
      </c>
      <c r="H20" s="238">
        <v>1848000</v>
      </c>
      <c r="I20" s="370"/>
      <c r="J20" s="370"/>
    </row>
    <row r="21" spans="2:10" ht="44.25" customHeight="1">
      <c r="B21" s="359" t="s">
        <v>406</v>
      </c>
      <c r="C21" s="359" t="s">
        <v>407</v>
      </c>
      <c r="D21" s="360" t="s">
        <v>68</v>
      </c>
      <c r="E21" s="363" t="s">
        <v>408</v>
      </c>
      <c r="F21" s="363" t="s">
        <v>409</v>
      </c>
      <c r="G21" s="238">
        <f t="shared" si="1"/>
        <v>1085000</v>
      </c>
      <c r="H21" s="238">
        <v>1060000</v>
      </c>
      <c r="I21" s="370">
        <v>25000</v>
      </c>
      <c r="J21" s="370">
        <v>25000</v>
      </c>
    </row>
    <row r="22" spans="2:10" ht="39" customHeight="1">
      <c r="B22" s="359" t="s">
        <v>410</v>
      </c>
      <c r="C22" s="359" t="s">
        <v>411</v>
      </c>
      <c r="D22" s="360" t="s">
        <v>48</v>
      </c>
      <c r="E22" s="363" t="s">
        <v>412</v>
      </c>
      <c r="F22" s="363" t="s">
        <v>413</v>
      </c>
      <c r="G22" s="238">
        <f t="shared" si="1"/>
        <v>173856</v>
      </c>
      <c r="H22" s="238">
        <v>173856</v>
      </c>
      <c r="I22" s="370"/>
      <c r="J22" s="370"/>
    </row>
    <row r="23" spans="2:12" ht="66.75" customHeight="1">
      <c r="B23" s="359" t="s">
        <v>265</v>
      </c>
      <c r="C23" s="359" t="s">
        <v>196</v>
      </c>
      <c r="D23" s="360" t="s">
        <v>48</v>
      </c>
      <c r="E23" s="236" t="s">
        <v>197</v>
      </c>
      <c r="F23" s="363" t="s">
        <v>415</v>
      </c>
      <c r="G23" s="238">
        <f t="shared" si="1"/>
        <v>635000</v>
      </c>
      <c r="H23" s="238">
        <v>635000</v>
      </c>
      <c r="I23" s="370"/>
      <c r="J23" s="370"/>
      <c r="L23" s="80"/>
    </row>
    <row r="24" spans="2:10" ht="50.25" customHeight="1">
      <c r="B24" s="359" t="s">
        <v>266</v>
      </c>
      <c r="C24" s="110">
        <v>8110</v>
      </c>
      <c r="D24" s="110" t="s">
        <v>151</v>
      </c>
      <c r="E24" s="243" t="s">
        <v>11</v>
      </c>
      <c r="F24" s="363" t="s">
        <v>416</v>
      </c>
      <c r="G24" s="238">
        <f t="shared" si="1"/>
        <v>242300</v>
      </c>
      <c r="H24" s="238">
        <v>242300</v>
      </c>
      <c r="I24" s="370"/>
      <c r="J24" s="370"/>
    </row>
    <row r="25" spans="2:10" ht="31.5">
      <c r="B25" s="129" t="s">
        <v>177</v>
      </c>
      <c r="C25" s="126" t="s">
        <v>178</v>
      </c>
      <c r="D25" s="126"/>
      <c r="E25" s="125" t="s">
        <v>396</v>
      </c>
      <c r="F25" s="217"/>
      <c r="G25" s="369">
        <f>G26</f>
        <v>16394526</v>
      </c>
      <c r="H25" s="369">
        <f>H26</f>
        <v>16294526</v>
      </c>
      <c r="I25" s="369">
        <f>I26</f>
        <v>100000</v>
      </c>
      <c r="J25" s="369">
        <f>J26</f>
        <v>100000</v>
      </c>
    </row>
    <row r="26" spans="2:10" ht="47.25">
      <c r="B26" s="129" t="s">
        <v>179</v>
      </c>
      <c r="C26" s="126"/>
      <c r="D26" s="126"/>
      <c r="E26" s="125" t="s">
        <v>397</v>
      </c>
      <c r="F26" s="217"/>
      <c r="G26" s="369">
        <f>I26+H26</f>
        <v>16394526</v>
      </c>
      <c r="H26" s="369">
        <f>SUM(H27:H36)</f>
        <v>16294526</v>
      </c>
      <c r="I26" s="369">
        <f>SUM(I27:I36)</f>
        <v>100000</v>
      </c>
      <c r="J26" s="369">
        <f>SUM(J27:J36)</f>
        <v>100000</v>
      </c>
    </row>
    <row r="27" spans="1:10" s="154" customFormat="1" ht="39" customHeight="1">
      <c r="A27" s="222"/>
      <c r="B27" s="359" t="s">
        <v>364</v>
      </c>
      <c r="C27" s="359" t="s">
        <v>365</v>
      </c>
      <c r="D27" s="234" t="s">
        <v>246</v>
      </c>
      <c r="E27" s="361" t="s">
        <v>366</v>
      </c>
      <c r="F27" s="530" t="s">
        <v>417</v>
      </c>
      <c r="G27" s="371">
        <f aca="true" t="shared" si="2" ref="G27:G36">H27+I27</f>
        <v>516726</v>
      </c>
      <c r="H27" s="238">
        <v>516726</v>
      </c>
      <c r="I27" s="370"/>
      <c r="J27" s="370"/>
    </row>
    <row r="28" spans="1:10" s="154" customFormat="1" ht="63">
      <c r="A28" s="222"/>
      <c r="B28" s="359" t="s">
        <v>205</v>
      </c>
      <c r="C28" s="359" t="s">
        <v>59</v>
      </c>
      <c r="D28" s="235">
        <v>1040</v>
      </c>
      <c r="E28" s="236" t="s">
        <v>184</v>
      </c>
      <c r="F28" s="530"/>
      <c r="G28" s="371">
        <f t="shared" si="2"/>
        <v>198000</v>
      </c>
      <c r="H28" s="238">
        <v>198000</v>
      </c>
      <c r="I28" s="370"/>
      <c r="J28" s="370"/>
    </row>
    <row r="29" spans="1:10" s="154" customFormat="1" ht="37.5" customHeight="1">
      <c r="A29" s="222"/>
      <c r="B29" s="359" t="s">
        <v>364</v>
      </c>
      <c r="C29" s="359" t="s">
        <v>365</v>
      </c>
      <c r="D29" s="234" t="s">
        <v>246</v>
      </c>
      <c r="E29" s="361" t="s">
        <v>366</v>
      </c>
      <c r="F29" s="530" t="s">
        <v>451</v>
      </c>
      <c r="G29" s="371">
        <f t="shared" si="2"/>
        <v>1417550</v>
      </c>
      <c r="H29" s="238">
        <v>1417550</v>
      </c>
      <c r="I29" s="370"/>
      <c r="J29" s="370"/>
    </row>
    <row r="30" spans="1:10" s="154" customFormat="1" ht="33.75" customHeight="1">
      <c r="A30" s="222"/>
      <c r="B30" s="359" t="s">
        <v>372</v>
      </c>
      <c r="C30" s="359" t="s">
        <v>373</v>
      </c>
      <c r="D30" s="234" t="s">
        <v>20</v>
      </c>
      <c r="E30" s="237" t="s">
        <v>248</v>
      </c>
      <c r="F30" s="530"/>
      <c r="G30" s="371">
        <f t="shared" si="2"/>
        <v>5473350</v>
      </c>
      <c r="H30" s="238">
        <v>5473350</v>
      </c>
      <c r="I30" s="370"/>
      <c r="J30" s="370"/>
    </row>
    <row r="31" spans="1:12" s="68" customFormat="1" ht="42.75" customHeight="1">
      <c r="A31" s="229"/>
      <c r="B31" s="511" t="s">
        <v>372</v>
      </c>
      <c r="C31" s="514" t="s">
        <v>373</v>
      </c>
      <c r="D31" s="517" t="s">
        <v>20</v>
      </c>
      <c r="E31" s="519" t="s">
        <v>248</v>
      </c>
      <c r="F31" s="282" t="s">
        <v>452</v>
      </c>
      <c r="G31" s="371">
        <f t="shared" si="2"/>
        <v>4154300</v>
      </c>
      <c r="H31" s="238">
        <v>4154300</v>
      </c>
      <c r="I31" s="370"/>
      <c r="J31" s="370"/>
      <c r="L31" s="154"/>
    </row>
    <row r="32" spans="1:12" s="68" customFormat="1" ht="58.5" customHeight="1">
      <c r="A32" s="229"/>
      <c r="B32" s="512"/>
      <c r="C32" s="515"/>
      <c r="D32" s="518"/>
      <c r="E32" s="520"/>
      <c r="F32" s="282" t="s">
        <v>418</v>
      </c>
      <c r="G32" s="371">
        <f>H32+I32</f>
        <v>1474600</v>
      </c>
      <c r="H32" s="238">
        <v>1474600</v>
      </c>
      <c r="I32" s="370"/>
      <c r="J32" s="370"/>
      <c r="L32" s="154"/>
    </row>
    <row r="33" spans="1:12" s="68" customFormat="1" ht="82.5" customHeight="1">
      <c r="A33" s="229"/>
      <c r="B33" s="513"/>
      <c r="C33" s="516"/>
      <c r="D33" s="513"/>
      <c r="E33" s="521"/>
      <c r="F33" s="282" t="s">
        <v>421</v>
      </c>
      <c r="G33" s="371">
        <f>H33+I33</f>
        <v>350000</v>
      </c>
      <c r="H33" s="238">
        <v>350000</v>
      </c>
      <c r="I33" s="370"/>
      <c r="J33" s="370"/>
      <c r="L33" s="154"/>
    </row>
    <row r="34" spans="1:10" s="3" customFormat="1" ht="49.5" customHeight="1">
      <c r="A34" s="14"/>
      <c r="B34" s="359" t="s">
        <v>181</v>
      </c>
      <c r="C34" s="359" t="s">
        <v>182</v>
      </c>
      <c r="D34" s="360" t="s">
        <v>36</v>
      </c>
      <c r="E34" s="361" t="s">
        <v>183</v>
      </c>
      <c r="F34" s="363" t="s">
        <v>419</v>
      </c>
      <c r="G34" s="371">
        <f t="shared" si="2"/>
        <v>595800</v>
      </c>
      <c r="H34" s="238">
        <v>595800</v>
      </c>
      <c r="I34" s="370"/>
      <c r="J34" s="370"/>
    </row>
    <row r="35" spans="1:10" s="3" customFormat="1" ht="48" customHeight="1">
      <c r="A35" s="14"/>
      <c r="B35" s="239" t="s">
        <v>390</v>
      </c>
      <c r="C35" s="359" t="s">
        <v>12</v>
      </c>
      <c r="D35" s="360" t="s">
        <v>46</v>
      </c>
      <c r="E35" s="364" t="s">
        <v>314</v>
      </c>
      <c r="F35" s="368" t="s">
        <v>427</v>
      </c>
      <c r="G35" s="238">
        <f>H35+I35</f>
        <v>1800000</v>
      </c>
      <c r="H35" s="238">
        <v>1700000</v>
      </c>
      <c r="I35" s="370">
        <v>100000</v>
      </c>
      <c r="J35" s="370">
        <v>100000</v>
      </c>
    </row>
    <row r="36" spans="1:10" s="3" customFormat="1" ht="60.75" customHeight="1">
      <c r="A36" s="14"/>
      <c r="B36" s="239" t="s">
        <v>300</v>
      </c>
      <c r="C36" s="239" t="s">
        <v>299</v>
      </c>
      <c r="D36" s="240" t="s">
        <v>249</v>
      </c>
      <c r="E36" s="282" t="s">
        <v>301</v>
      </c>
      <c r="F36" s="282" t="s">
        <v>420</v>
      </c>
      <c r="G36" s="371">
        <f t="shared" si="2"/>
        <v>414200</v>
      </c>
      <c r="H36" s="238">
        <v>414200</v>
      </c>
      <c r="I36" s="370"/>
      <c r="J36" s="370"/>
    </row>
    <row r="37" spans="2:10" ht="31.5">
      <c r="B37" s="129" t="s">
        <v>153</v>
      </c>
      <c r="C37" s="129" t="s">
        <v>152</v>
      </c>
      <c r="D37" s="126"/>
      <c r="E37" s="125" t="s">
        <v>560</v>
      </c>
      <c r="F37" s="217"/>
      <c r="G37" s="369">
        <f>G38</f>
        <v>22110000</v>
      </c>
      <c r="H37" s="369">
        <f>H38</f>
        <v>22110000</v>
      </c>
      <c r="I37" s="369">
        <f>I38</f>
        <v>0</v>
      </c>
      <c r="J37" s="369">
        <f>J38</f>
        <v>0</v>
      </c>
    </row>
    <row r="38" spans="2:10" ht="45.75" customHeight="1">
      <c r="B38" s="129" t="s">
        <v>154</v>
      </c>
      <c r="C38" s="129"/>
      <c r="D38" s="126"/>
      <c r="E38" s="125" t="s">
        <v>561</v>
      </c>
      <c r="F38" s="217"/>
      <c r="G38" s="369">
        <f>I38+H38</f>
        <v>22110000</v>
      </c>
      <c r="H38" s="369">
        <f>SUM(H39:H43)</f>
        <v>22110000</v>
      </c>
      <c r="I38" s="369">
        <f>SUM(I39:I42)</f>
        <v>0</v>
      </c>
      <c r="J38" s="369">
        <f>SUM(J39:J42)</f>
        <v>0</v>
      </c>
    </row>
    <row r="39" spans="1:10" s="36" customFormat="1" ht="59.25" customHeight="1">
      <c r="A39" s="35"/>
      <c r="B39" s="359" t="s">
        <v>19</v>
      </c>
      <c r="C39" s="241" t="s">
        <v>8</v>
      </c>
      <c r="D39" s="241" t="s">
        <v>40</v>
      </c>
      <c r="E39" s="236" t="s">
        <v>9</v>
      </c>
      <c r="F39" s="248" t="s">
        <v>448</v>
      </c>
      <c r="G39" s="238">
        <f>H39</f>
        <v>15000000</v>
      </c>
      <c r="H39" s="238">
        <v>15000000</v>
      </c>
      <c r="I39" s="370"/>
      <c r="J39" s="370"/>
    </row>
    <row r="40" spans="2:10" ht="51" customHeight="1">
      <c r="B40" s="359" t="s">
        <v>17</v>
      </c>
      <c r="C40" s="359" t="s">
        <v>7</v>
      </c>
      <c r="D40" s="360" t="s">
        <v>24</v>
      </c>
      <c r="E40" s="363" t="s">
        <v>25</v>
      </c>
      <c r="F40" s="358" t="s">
        <v>414</v>
      </c>
      <c r="G40" s="238">
        <f>H40</f>
        <v>50000</v>
      </c>
      <c r="H40" s="238">
        <v>50000</v>
      </c>
      <c r="I40" s="370"/>
      <c r="J40" s="370"/>
    </row>
    <row r="41" spans="2:10" ht="39.75" customHeight="1">
      <c r="B41" s="359" t="s">
        <v>303</v>
      </c>
      <c r="C41" s="359" t="s">
        <v>302</v>
      </c>
      <c r="D41" s="249" t="s">
        <v>38</v>
      </c>
      <c r="E41" s="111" t="s">
        <v>304</v>
      </c>
      <c r="F41" s="530" t="s">
        <v>449</v>
      </c>
      <c r="G41" s="238">
        <f>H41</f>
        <v>100000</v>
      </c>
      <c r="H41" s="238">
        <v>100000</v>
      </c>
      <c r="I41" s="370"/>
      <c r="J41" s="370"/>
    </row>
    <row r="42" spans="2:10" ht="52.5" customHeight="1">
      <c r="B42" s="359" t="s">
        <v>155</v>
      </c>
      <c r="C42" s="359" t="s">
        <v>64</v>
      </c>
      <c r="D42" s="241" t="s">
        <v>38</v>
      </c>
      <c r="E42" s="361" t="s">
        <v>31</v>
      </c>
      <c r="F42" s="530"/>
      <c r="G42" s="238">
        <f>H42</f>
        <v>6000000</v>
      </c>
      <c r="H42" s="238">
        <v>6000000</v>
      </c>
      <c r="I42" s="370"/>
      <c r="J42" s="370"/>
    </row>
    <row r="43" spans="2:10" ht="52.5" customHeight="1">
      <c r="B43" s="359" t="s">
        <v>345</v>
      </c>
      <c r="C43" s="359" t="s">
        <v>346</v>
      </c>
      <c r="D43" s="241" t="s">
        <v>38</v>
      </c>
      <c r="E43" s="361" t="s">
        <v>347</v>
      </c>
      <c r="F43" s="530"/>
      <c r="G43" s="238">
        <f>H43</f>
        <v>960000</v>
      </c>
      <c r="H43" s="238">
        <v>960000</v>
      </c>
      <c r="I43" s="370"/>
      <c r="J43" s="370"/>
    </row>
    <row r="44" spans="1:12" s="57" customFormat="1" ht="31.5">
      <c r="A44" s="56"/>
      <c r="B44" s="129" t="s">
        <v>188</v>
      </c>
      <c r="C44" s="129" t="s">
        <v>187</v>
      </c>
      <c r="D44" s="58"/>
      <c r="E44" s="131" t="s">
        <v>277</v>
      </c>
      <c r="F44" s="217"/>
      <c r="G44" s="369">
        <f>I44+H44</f>
        <v>171642784</v>
      </c>
      <c r="H44" s="369">
        <f>H45</f>
        <v>124859933</v>
      </c>
      <c r="I44" s="372">
        <f>I45</f>
        <v>46782851</v>
      </c>
      <c r="J44" s="372">
        <f>J45</f>
        <v>46538251</v>
      </c>
      <c r="L44" s="225">
        <f>I44-J44</f>
        <v>244600</v>
      </c>
    </row>
    <row r="45" spans="1:12" s="57" customFormat="1" ht="31.5">
      <c r="A45" s="56"/>
      <c r="B45" s="129" t="s">
        <v>189</v>
      </c>
      <c r="C45" s="129"/>
      <c r="D45" s="58"/>
      <c r="E45" s="131" t="s">
        <v>305</v>
      </c>
      <c r="F45" s="217"/>
      <c r="G45" s="369">
        <f>I45+H45</f>
        <v>171642784</v>
      </c>
      <c r="H45" s="369">
        <f>SUM(H46:H61)</f>
        <v>124859933</v>
      </c>
      <c r="I45" s="369">
        <f>SUM(I46:I61)</f>
        <v>46782851</v>
      </c>
      <c r="J45" s="369">
        <f>SUM(J46:J61)</f>
        <v>46538251</v>
      </c>
      <c r="L45" s="225">
        <f>I45-J45</f>
        <v>244600</v>
      </c>
    </row>
    <row r="46" spans="2:12" ht="37.5" customHeight="1">
      <c r="B46" s="522" t="s">
        <v>16</v>
      </c>
      <c r="C46" s="522" t="s">
        <v>7</v>
      </c>
      <c r="D46" s="524" t="s">
        <v>24</v>
      </c>
      <c r="E46" s="526" t="s">
        <v>25</v>
      </c>
      <c r="F46" s="358" t="s">
        <v>414</v>
      </c>
      <c r="G46" s="238">
        <f>H46+I46</f>
        <v>30000</v>
      </c>
      <c r="H46" s="238">
        <v>30000</v>
      </c>
      <c r="I46" s="370"/>
      <c r="J46" s="370"/>
      <c r="L46" s="17" t="e">
        <f>#REF!+G51+#REF!+G55</f>
        <v>#REF!</v>
      </c>
    </row>
    <row r="47" spans="2:10" ht="71.25" customHeight="1">
      <c r="B47" s="522"/>
      <c r="C47" s="522"/>
      <c r="D47" s="524"/>
      <c r="E47" s="526"/>
      <c r="F47" s="282" t="s">
        <v>439</v>
      </c>
      <c r="G47" s="238">
        <f>H47+I47</f>
        <v>50000</v>
      </c>
      <c r="H47" s="238">
        <v>50000</v>
      </c>
      <c r="I47" s="370"/>
      <c r="J47" s="370"/>
    </row>
    <row r="48" spans="1:10" s="11" customFormat="1" ht="81" customHeight="1">
      <c r="A48" s="10"/>
      <c r="B48" s="359" t="s">
        <v>202</v>
      </c>
      <c r="C48" s="359" t="s">
        <v>203</v>
      </c>
      <c r="D48" s="246" t="s">
        <v>47</v>
      </c>
      <c r="E48" s="111" t="s">
        <v>204</v>
      </c>
      <c r="F48" s="363" t="s">
        <v>546</v>
      </c>
      <c r="G48" s="238">
        <f>H48+I48</f>
        <v>25445723</v>
      </c>
      <c r="H48" s="238">
        <v>2955723</v>
      </c>
      <c r="I48" s="370">
        <v>22490000</v>
      </c>
      <c r="J48" s="370">
        <v>22490000</v>
      </c>
    </row>
    <row r="49" spans="2:10" ht="71.25" customHeight="1">
      <c r="B49" s="359" t="s">
        <v>193</v>
      </c>
      <c r="C49" s="359" t="s">
        <v>66</v>
      </c>
      <c r="D49" s="360" t="s">
        <v>47</v>
      </c>
      <c r="E49" s="363" t="s">
        <v>194</v>
      </c>
      <c r="F49" s="363" t="s">
        <v>442</v>
      </c>
      <c r="G49" s="238">
        <f>H49+I49</f>
        <v>1430000</v>
      </c>
      <c r="H49" s="238">
        <v>1430000</v>
      </c>
      <c r="I49" s="370"/>
      <c r="J49" s="370"/>
    </row>
    <row r="50" spans="2:10" ht="36.75" customHeight="1">
      <c r="B50" s="359" t="s">
        <v>193</v>
      </c>
      <c r="C50" s="359" t="s">
        <v>66</v>
      </c>
      <c r="D50" s="360" t="s">
        <v>47</v>
      </c>
      <c r="E50" s="363" t="s">
        <v>194</v>
      </c>
      <c r="F50" s="530" t="s">
        <v>447</v>
      </c>
      <c r="G50" s="238">
        <f aca="true" t="shared" si="3" ref="G50:G56">H50+I50</f>
        <v>121652261</v>
      </c>
      <c r="H50" s="238">
        <v>115497210</v>
      </c>
      <c r="I50" s="370">
        <v>6155051</v>
      </c>
      <c r="J50" s="370">
        <v>6155051</v>
      </c>
    </row>
    <row r="51" spans="2:10" ht="54" customHeight="1">
      <c r="B51" s="359" t="s">
        <v>456</v>
      </c>
      <c r="C51" s="359" t="s">
        <v>454</v>
      </c>
      <c r="D51" s="249" t="s">
        <v>48</v>
      </c>
      <c r="E51" s="253" t="s">
        <v>455</v>
      </c>
      <c r="F51" s="530"/>
      <c r="G51" s="238">
        <f t="shared" si="3"/>
        <v>9653200</v>
      </c>
      <c r="H51" s="373"/>
      <c r="I51" s="370">
        <v>9653200</v>
      </c>
      <c r="J51" s="370">
        <v>9653200</v>
      </c>
    </row>
    <row r="52" spans="1:10" s="11" customFormat="1" ht="99.75" customHeight="1">
      <c r="A52" s="10"/>
      <c r="B52" s="359" t="s">
        <v>214</v>
      </c>
      <c r="C52" s="359" t="s">
        <v>215</v>
      </c>
      <c r="D52" s="360" t="s">
        <v>213</v>
      </c>
      <c r="E52" s="363" t="s">
        <v>216</v>
      </c>
      <c r="F52" s="282" t="s">
        <v>445</v>
      </c>
      <c r="G52" s="238">
        <f t="shared" si="3"/>
        <v>1217000</v>
      </c>
      <c r="H52" s="238">
        <v>1217000</v>
      </c>
      <c r="I52" s="370"/>
      <c r="J52" s="370"/>
    </row>
    <row r="53" spans="1:10" s="11" customFormat="1" ht="99.75" customHeight="1">
      <c r="A53" s="10"/>
      <c r="B53" s="450" t="s">
        <v>210</v>
      </c>
      <c r="C53" s="454" t="s">
        <v>211</v>
      </c>
      <c r="D53" s="451" t="s">
        <v>213</v>
      </c>
      <c r="E53" s="452" t="s">
        <v>212</v>
      </c>
      <c r="F53" s="282" t="s">
        <v>446</v>
      </c>
      <c r="G53" s="238">
        <f>H53+I53</f>
        <v>4000000</v>
      </c>
      <c r="H53" s="238"/>
      <c r="I53" s="371">
        <v>4000000</v>
      </c>
      <c r="J53" s="371">
        <v>4000000</v>
      </c>
    </row>
    <row r="54" spans="2:12" ht="58.5" customHeight="1">
      <c r="B54" s="359" t="s">
        <v>210</v>
      </c>
      <c r="C54" s="454" t="s">
        <v>211</v>
      </c>
      <c r="D54" s="360" t="s">
        <v>213</v>
      </c>
      <c r="E54" s="363" t="s">
        <v>212</v>
      </c>
      <c r="F54" s="362" t="s">
        <v>441</v>
      </c>
      <c r="G54" s="238">
        <f t="shared" si="3"/>
        <v>1500000</v>
      </c>
      <c r="H54" s="238">
        <v>1500000</v>
      </c>
      <c r="I54" s="370"/>
      <c r="J54" s="370"/>
      <c r="L54" s="17"/>
    </row>
    <row r="55" spans="1:12" s="11" customFormat="1" ht="66.75" customHeight="1">
      <c r="A55" s="10"/>
      <c r="B55" s="359" t="s">
        <v>195</v>
      </c>
      <c r="C55" s="359" t="s">
        <v>196</v>
      </c>
      <c r="D55" s="360" t="s">
        <v>48</v>
      </c>
      <c r="E55" s="247" t="s">
        <v>197</v>
      </c>
      <c r="F55" s="282" t="s">
        <v>443</v>
      </c>
      <c r="G55" s="238">
        <f t="shared" si="3"/>
        <v>500000</v>
      </c>
      <c r="H55" s="238">
        <v>500000</v>
      </c>
      <c r="I55" s="370"/>
      <c r="J55" s="370"/>
      <c r="L55" s="9"/>
    </row>
    <row r="56" spans="1:10" s="289" customFormat="1" ht="63" customHeight="1">
      <c r="A56" s="288"/>
      <c r="B56" s="359" t="s">
        <v>199</v>
      </c>
      <c r="C56" s="359" t="s">
        <v>198</v>
      </c>
      <c r="D56" s="360" t="s">
        <v>200</v>
      </c>
      <c r="E56" s="363" t="s">
        <v>201</v>
      </c>
      <c r="F56" s="363" t="s">
        <v>444</v>
      </c>
      <c r="G56" s="238">
        <f t="shared" si="3"/>
        <v>164600</v>
      </c>
      <c r="H56" s="238"/>
      <c r="I56" s="370">
        <v>164600</v>
      </c>
      <c r="J56" s="370"/>
    </row>
    <row r="57" spans="1:10" s="36" customFormat="1" ht="26.25" customHeight="1">
      <c r="A57" s="35"/>
      <c r="B57" s="359" t="s">
        <v>354</v>
      </c>
      <c r="C57" s="359" t="s">
        <v>51</v>
      </c>
      <c r="D57" s="360" t="s">
        <v>42</v>
      </c>
      <c r="E57" s="361" t="s">
        <v>165</v>
      </c>
      <c r="F57" s="534" t="s">
        <v>440</v>
      </c>
      <c r="G57" s="374">
        <f>H57+I57</f>
        <v>610000</v>
      </c>
      <c r="H57" s="238">
        <f>240000+50000+200000+120000</f>
        <v>610000</v>
      </c>
      <c r="I57" s="370"/>
      <c r="J57" s="370"/>
    </row>
    <row r="58" spans="1:10" s="36" customFormat="1" ht="30" customHeight="1">
      <c r="A58" s="35"/>
      <c r="B58" s="359" t="s">
        <v>315</v>
      </c>
      <c r="C58" s="360" t="s">
        <v>5</v>
      </c>
      <c r="D58" s="360" t="s">
        <v>245</v>
      </c>
      <c r="E58" s="361" t="s">
        <v>6</v>
      </c>
      <c r="F58" s="534"/>
      <c r="G58" s="374">
        <f>H58+I58</f>
        <v>1150000</v>
      </c>
      <c r="H58" s="238">
        <v>1070000</v>
      </c>
      <c r="I58" s="370">
        <v>80000</v>
      </c>
      <c r="J58" s="370"/>
    </row>
    <row r="59" spans="1:12" s="36" customFormat="1" ht="40.5" customHeight="1">
      <c r="A59" s="35"/>
      <c r="B59" s="359" t="s">
        <v>353</v>
      </c>
      <c r="C59" s="360" t="s">
        <v>191</v>
      </c>
      <c r="D59" s="360" t="s">
        <v>192</v>
      </c>
      <c r="E59" s="361" t="s">
        <v>389</v>
      </c>
      <c r="F59" s="534"/>
      <c r="G59" s="374">
        <f>H59+I59</f>
        <v>1040000</v>
      </c>
      <c r="H59" s="375"/>
      <c r="I59" s="370">
        <f>590000+450000</f>
        <v>1040000</v>
      </c>
      <c r="J59" s="370">
        <f>I59</f>
        <v>1040000</v>
      </c>
      <c r="L59" s="9"/>
    </row>
    <row r="60" spans="1:12" s="36" customFormat="1" ht="40.5" customHeight="1">
      <c r="A60" s="35"/>
      <c r="B60" s="359" t="s">
        <v>457</v>
      </c>
      <c r="C60" s="360" t="s">
        <v>458</v>
      </c>
      <c r="D60" s="360" t="s">
        <v>192</v>
      </c>
      <c r="E60" s="361" t="s">
        <v>459</v>
      </c>
      <c r="F60" s="534"/>
      <c r="G60" s="374">
        <f>H60+I60</f>
        <v>3000000</v>
      </c>
      <c r="H60" s="375"/>
      <c r="I60" s="370">
        <v>3000000</v>
      </c>
      <c r="J60" s="370">
        <v>3000000</v>
      </c>
      <c r="L60" s="9"/>
    </row>
    <row r="61" spans="1:10" s="36" customFormat="1" ht="33" customHeight="1">
      <c r="A61" s="35"/>
      <c r="B61" s="359" t="s">
        <v>352</v>
      </c>
      <c r="C61" s="360" t="s">
        <v>222</v>
      </c>
      <c r="D61" s="360" t="s">
        <v>48</v>
      </c>
      <c r="E61" s="358" t="s">
        <v>223</v>
      </c>
      <c r="F61" s="534"/>
      <c r="G61" s="374">
        <f>H61+I61</f>
        <v>200000</v>
      </c>
      <c r="H61" s="375"/>
      <c r="I61" s="370">
        <v>200000</v>
      </c>
      <c r="J61" s="370">
        <v>200000</v>
      </c>
    </row>
    <row r="62" spans="1:10" s="36" customFormat="1" ht="42.75" customHeight="1">
      <c r="A62" s="35"/>
      <c r="B62" s="129" t="s">
        <v>32</v>
      </c>
      <c r="C62" s="129" t="s">
        <v>63</v>
      </c>
      <c r="D62" s="130"/>
      <c r="E62" s="128" t="s">
        <v>350</v>
      </c>
      <c r="F62" s="131"/>
      <c r="G62" s="376">
        <f aca="true" t="shared" si="4" ref="G62:G69">H62+I62</f>
        <v>39897037</v>
      </c>
      <c r="H62" s="369">
        <f>H63</f>
        <v>0</v>
      </c>
      <c r="I62" s="369">
        <f>I63</f>
        <v>39897037</v>
      </c>
      <c r="J62" s="369">
        <f>J63</f>
        <v>39897037</v>
      </c>
    </row>
    <row r="63" spans="1:10" s="36" customFormat="1" ht="54.75" customHeight="1">
      <c r="A63" s="35"/>
      <c r="B63" s="129" t="s">
        <v>37</v>
      </c>
      <c r="C63" s="129"/>
      <c r="D63" s="130"/>
      <c r="E63" s="128" t="s">
        <v>351</v>
      </c>
      <c r="F63" s="131"/>
      <c r="G63" s="376">
        <f t="shared" si="4"/>
        <v>39897037</v>
      </c>
      <c r="H63" s="369">
        <f>SUM(H64:H69)</f>
        <v>0</v>
      </c>
      <c r="I63" s="369">
        <f>SUM(I64:I69)</f>
        <v>39897037</v>
      </c>
      <c r="J63" s="369">
        <f>SUM(J64:J69)</f>
        <v>39897037</v>
      </c>
    </row>
    <row r="64" spans="1:10" s="36" customFormat="1" ht="54.75" customHeight="1">
      <c r="A64" s="35"/>
      <c r="B64" s="359" t="s">
        <v>517</v>
      </c>
      <c r="C64" s="359" t="s">
        <v>39</v>
      </c>
      <c r="D64" s="234" t="s">
        <v>247</v>
      </c>
      <c r="E64" s="361" t="s">
        <v>384</v>
      </c>
      <c r="F64" s="536" t="s">
        <v>553</v>
      </c>
      <c r="G64" s="374">
        <f t="shared" si="4"/>
        <v>170000</v>
      </c>
      <c r="H64" s="375"/>
      <c r="I64" s="370">
        <f aca="true" t="shared" si="5" ref="I64:I69">J64</f>
        <v>170000</v>
      </c>
      <c r="J64" s="370">
        <v>170000</v>
      </c>
    </row>
    <row r="65" spans="1:10" s="36" customFormat="1" ht="57" customHeight="1">
      <c r="A65" s="35"/>
      <c r="B65" s="359" t="s">
        <v>518</v>
      </c>
      <c r="C65" s="359" t="s">
        <v>365</v>
      </c>
      <c r="D65" s="234" t="s">
        <v>246</v>
      </c>
      <c r="E65" s="361" t="s">
        <v>366</v>
      </c>
      <c r="F65" s="537"/>
      <c r="G65" s="374">
        <f t="shared" si="4"/>
        <v>6770000</v>
      </c>
      <c r="H65" s="375"/>
      <c r="I65" s="370">
        <f t="shared" si="5"/>
        <v>6770000</v>
      </c>
      <c r="J65" s="370">
        <v>6770000</v>
      </c>
    </row>
    <row r="66" spans="1:10" s="36" customFormat="1" ht="54.75" customHeight="1">
      <c r="A66" s="35"/>
      <c r="B66" s="359" t="s">
        <v>545</v>
      </c>
      <c r="C66" s="359" t="s">
        <v>388</v>
      </c>
      <c r="D66" s="249" t="s">
        <v>45</v>
      </c>
      <c r="E66" s="114" t="s">
        <v>453</v>
      </c>
      <c r="F66" s="537"/>
      <c r="G66" s="374">
        <f t="shared" si="4"/>
        <v>100000</v>
      </c>
      <c r="H66" s="375"/>
      <c r="I66" s="370">
        <f t="shared" si="5"/>
        <v>100000</v>
      </c>
      <c r="J66" s="370">
        <v>100000</v>
      </c>
    </row>
    <row r="67" spans="1:10" s="36" customFormat="1" ht="60" customHeight="1">
      <c r="A67" s="35"/>
      <c r="B67" s="359" t="s">
        <v>519</v>
      </c>
      <c r="C67" s="359" t="s">
        <v>65</v>
      </c>
      <c r="D67" s="249" t="s">
        <v>44</v>
      </c>
      <c r="E67" s="114" t="s">
        <v>173</v>
      </c>
      <c r="F67" s="537"/>
      <c r="G67" s="374">
        <f t="shared" si="4"/>
        <v>100000</v>
      </c>
      <c r="H67" s="375"/>
      <c r="I67" s="370">
        <f t="shared" si="5"/>
        <v>100000</v>
      </c>
      <c r="J67" s="370">
        <v>100000</v>
      </c>
    </row>
    <row r="68" spans="1:10" s="36" customFormat="1" ht="58.5" customHeight="1">
      <c r="A68" s="35"/>
      <c r="B68" s="359" t="s">
        <v>349</v>
      </c>
      <c r="C68" s="359" t="s">
        <v>66</v>
      </c>
      <c r="D68" s="249" t="s">
        <v>47</v>
      </c>
      <c r="E68" s="251" t="s">
        <v>194</v>
      </c>
      <c r="F68" s="537"/>
      <c r="G68" s="374">
        <f t="shared" si="4"/>
        <v>13971537</v>
      </c>
      <c r="H68" s="375"/>
      <c r="I68" s="370">
        <f t="shared" si="5"/>
        <v>13971537</v>
      </c>
      <c r="J68" s="370">
        <v>13971537</v>
      </c>
    </row>
    <row r="69" spans="1:10" s="36" customFormat="1" ht="55.5" customHeight="1">
      <c r="A69" s="35"/>
      <c r="B69" s="359" t="s">
        <v>473</v>
      </c>
      <c r="C69" s="359" t="s">
        <v>2</v>
      </c>
      <c r="D69" s="249" t="s">
        <v>3</v>
      </c>
      <c r="E69" s="361" t="s">
        <v>4</v>
      </c>
      <c r="F69" s="538"/>
      <c r="G69" s="374">
        <f t="shared" si="4"/>
        <v>18785500</v>
      </c>
      <c r="H69" s="375"/>
      <c r="I69" s="370">
        <f t="shared" si="5"/>
        <v>18785500</v>
      </c>
      <c r="J69" s="370">
        <v>18785500</v>
      </c>
    </row>
    <row r="70" spans="2:10" ht="31.5">
      <c r="B70" s="129" t="s">
        <v>160</v>
      </c>
      <c r="C70" s="129" t="s">
        <v>161</v>
      </c>
      <c r="D70" s="135"/>
      <c r="E70" s="125" t="s">
        <v>279</v>
      </c>
      <c r="F70" s="131"/>
      <c r="G70" s="376">
        <f>G71</f>
        <v>5730900</v>
      </c>
      <c r="H70" s="376">
        <f aca="true" t="shared" si="6" ref="H70:J71">H71</f>
        <v>5730900</v>
      </c>
      <c r="I70" s="376">
        <f t="shared" si="6"/>
        <v>0</v>
      </c>
      <c r="J70" s="376">
        <f t="shared" si="6"/>
        <v>0</v>
      </c>
    </row>
    <row r="71" spans="2:10" ht="31.5">
      <c r="B71" s="129" t="s">
        <v>162</v>
      </c>
      <c r="C71" s="129"/>
      <c r="D71" s="135"/>
      <c r="E71" s="125" t="s">
        <v>280</v>
      </c>
      <c r="F71" s="131"/>
      <c r="G71" s="376">
        <f>G72</f>
        <v>5730900</v>
      </c>
      <c r="H71" s="376">
        <f t="shared" si="6"/>
        <v>5730900</v>
      </c>
      <c r="I71" s="376">
        <f t="shared" si="6"/>
        <v>0</v>
      </c>
      <c r="J71" s="376">
        <f t="shared" si="6"/>
        <v>0</v>
      </c>
    </row>
    <row r="72" spans="2:10" ht="42.75" customHeight="1">
      <c r="B72" s="359" t="s">
        <v>319</v>
      </c>
      <c r="C72" s="110" t="s">
        <v>320</v>
      </c>
      <c r="D72" s="359" t="s">
        <v>321</v>
      </c>
      <c r="E72" s="111" t="s">
        <v>322</v>
      </c>
      <c r="F72" s="364" t="s">
        <v>323</v>
      </c>
      <c r="G72" s="374">
        <f>H72+I72</f>
        <v>5730900</v>
      </c>
      <c r="H72" s="238">
        <v>5730900</v>
      </c>
      <c r="I72" s="370"/>
      <c r="J72" s="370"/>
    </row>
    <row r="73" spans="1:12" s="13" customFormat="1" ht="33.75" customHeight="1">
      <c r="A73" s="27"/>
      <c r="B73" s="357"/>
      <c r="C73" s="58"/>
      <c r="D73" s="58"/>
      <c r="E73" s="128" t="s">
        <v>234</v>
      </c>
      <c r="F73" s="219"/>
      <c r="G73" s="376">
        <f>H73+I73</f>
        <v>284608378</v>
      </c>
      <c r="H73" s="372">
        <f>H44+H37+H25+H10+H70+H62</f>
        <v>187153490</v>
      </c>
      <c r="I73" s="372">
        <f>I44+I37+I25+I10+I70+I62</f>
        <v>97454888</v>
      </c>
      <c r="J73" s="372">
        <f>J44+J37+J25+J10+J70+J62</f>
        <v>97210288</v>
      </c>
      <c r="L73" s="225">
        <f>I73-J73</f>
        <v>244600</v>
      </c>
    </row>
    <row r="74" spans="7:12" ht="15.75">
      <c r="G74" s="53"/>
      <c r="H74" s="53"/>
      <c r="I74" s="54"/>
      <c r="J74" s="55"/>
      <c r="L74" s="9">
        <v>80000</v>
      </c>
    </row>
    <row r="75" spans="2:12" ht="23.25" customHeight="1">
      <c r="B75" s="37"/>
      <c r="C75" s="37"/>
      <c r="D75" s="37"/>
      <c r="E75" s="37"/>
      <c r="F75" s="85"/>
      <c r="G75" s="141"/>
      <c r="H75" s="141"/>
      <c r="I75" s="141"/>
      <c r="J75" s="141"/>
      <c r="L75" s="17">
        <f>L73-L74</f>
        <v>164600</v>
      </c>
    </row>
    <row r="76" spans="2:16" ht="20.25" customHeight="1">
      <c r="B76" s="38"/>
      <c r="C76" s="38"/>
      <c r="D76" s="38"/>
      <c r="E76" s="38"/>
      <c r="F76" s="86"/>
      <c r="G76" s="38"/>
      <c r="H76" s="38"/>
      <c r="I76" s="39"/>
      <c r="J76" s="139"/>
      <c r="K76" s="38"/>
      <c r="L76" s="38"/>
      <c r="M76" s="38"/>
      <c r="N76" s="38"/>
      <c r="O76" s="38"/>
      <c r="P76" s="38"/>
    </row>
    <row r="77" spans="1:16" s="47" customFormat="1" ht="20.25" customHeight="1">
      <c r="A77" s="50"/>
      <c r="B77" s="51"/>
      <c r="C77" s="468" t="s">
        <v>569</v>
      </c>
      <c r="D77" s="51"/>
      <c r="E77" s="52"/>
      <c r="F77" s="87"/>
      <c r="G77" s="9" t="s">
        <v>570</v>
      </c>
      <c r="H77" s="51"/>
      <c r="I77" s="140"/>
      <c r="J77" s="51"/>
      <c r="K77" s="51"/>
      <c r="L77" s="51"/>
      <c r="M77" s="51"/>
      <c r="N77" s="51"/>
      <c r="O77" s="51"/>
      <c r="P77" s="51"/>
    </row>
    <row r="78" spans="2:16" ht="30.75" customHeight="1">
      <c r="B78" s="38"/>
      <c r="C78" s="38"/>
      <c r="D78" s="38"/>
      <c r="E78" s="38"/>
      <c r="F78" s="86"/>
      <c r="G78" s="38"/>
      <c r="H78" s="38"/>
      <c r="I78" s="221"/>
      <c r="J78" s="38"/>
      <c r="K78" s="38"/>
      <c r="L78" s="38"/>
      <c r="M78" s="38"/>
      <c r="N78" s="38"/>
      <c r="O78" s="38"/>
      <c r="P78" s="38"/>
    </row>
    <row r="79" spans="2:16" ht="21" customHeight="1">
      <c r="B79" s="38"/>
      <c r="C79" s="38"/>
      <c r="D79" s="38"/>
      <c r="E79" s="38"/>
      <c r="F79" s="86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3" spans="7:9" ht="15.75">
      <c r="G83" s="28">
        <v>284608378</v>
      </c>
      <c r="I83" s="8">
        <v>284608378</v>
      </c>
    </row>
    <row r="85" ht="15.75">
      <c r="I85" s="84"/>
    </row>
  </sheetData>
  <sheetProtection/>
  <autoFilter ref="A8:P73"/>
  <mergeCells count="35">
    <mergeCell ref="F41:F43"/>
    <mergeCell ref="F14:F15"/>
    <mergeCell ref="F64:F69"/>
    <mergeCell ref="F50:F51"/>
    <mergeCell ref="B46:B47"/>
    <mergeCell ref="C46:C47"/>
    <mergeCell ref="D46:D47"/>
    <mergeCell ref="E46:E47"/>
    <mergeCell ref="F57:F61"/>
    <mergeCell ref="F27:F28"/>
    <mergeCell ref="F29:F30"/>
    <mergeCell ref="B1:H1"/>
    <mergeCell ref="G7:G8"/>
    <mergeCell ref="B7:B8"/>
    <mergeCell ref="C7:C8"/>
    <mergeCell ref="D7:D8"/>
    <mergeCell ref="H7:H8"/>
    <mergeCell ref="E7:E8"/>
    <mergeCell ref="G2:J2"/>
    <mergeCell ref="E12:E13"/>
    <mergeCell ref="E5:F5"/>
    <mergeCell ref="B4:J4"/>
    <mergeCell ref="C12:C13"/>
    <mergeCell ref="D12:D13"/>
    <mergeCell ref="I7:J7"/>
    <mergeCell ref="B12:B13"/>
    <mergeCell ref="F7:F8"/>
    <mergeCell ref="B31:B33"/>
    <mergeCell ref="C31:C33"/>
    <mergeCell ref="D31:D33"/>
    <mergeCell ref="E31:E33"/>
    <mergeCell ref="B18:B19"/>
    <mergeCell ref="D18:D19"/>
    <mergeCell ref="E18:E19"/>
    <mergeCell ref="C18:C19"/>
  </mergeCells>
  <printOptions/>
  <pageMargins left="0.2362204724409449" right="0.1968503937007874" top="0.4724409448818898" bottom="0.2755905511811024" header="0.2362204724409449" footer="0.2755905511811024"/>
  <pageSetup fitToHeight="3" fitToWidth="1" horizontalDpi="600" verticalDpi="600" orientation="portrait" paperSize="9" scale="39" r:id="rId1"/>
  <rowBreaks count="5" manualBreakCount="5">
    <brk id="47" max="10" man="1"/>
    <brk id="53" max="10" man="1"/>
    <brk id="78" min="1" max="11" man="1"/>
    <brk id="94" min="1" max="11" man="1"/>
    <brk id="98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zoomScalePageLayoutView="0" workbookViewId="0" topLeftCell="B1">
      <selection activeCell="B27" sqref="B27:N27"/>
    </sheetView>
  </sheetViews>
  <sheetFormatPr defaultColWidth="7.875" defaultRowHeight="12.75"/>
  <cols>
    <col min="1" max="1" width="3.25390625" style="7" hidden="1" customWidth="1"/>
    <col min="2" max="2" width="14.125" style="28" customWidth="1"/>
    <col min="3" max="3" width="15.25390625" style="28" customWidth="1"/>
    <col min="4" max="4" width="20.00390625" style="28" customWidth="1"/>
    <col min="5" max="5" width="57.875" style="28" customWidth="1"/>
    <col min="6" max="6" width="18.125" style="28" customWidth="1"/>
    <col min="7" max="7" width="6.75390625" style="8" customWidth="1"/>
    <col min="8" max="16384" width="7.875" style="9" customWidth="1"/>
  </cols>
  <sheetData>
    <row r="1" spans="2:6" ht="13.5" customHeight="1">
      <c r="B1" s="531"/>
      <c r="C1" s="531"/>
      <c r="D1" s="531"/>
      <c r="E1" s="531"/>
      <c r="F1" s="531"/>
    </row>
    <row r="2" spans="4:8" ht="84" customHeight="1">
      <c r="D2" s="15"/>
      <c r="E2" s="543" t="s">
        <v>568</v>
      </c>
      <c r="F2" s="543"/>
      <c r="G2" s="543"/>
      <c r="H2" s="41"/>
    </row>
    <row r="3" spans="4:8" ht="15.75">
      <c r="D3" s="48"/>
      <c r="E3" s="94"/>
      <c r="F3" s="48"/>
      <c r="G3" s="41"/>
      <c r="H3" s="41"/>
    </row>
    <row r="4" spans="4:8" ht="15.75">
      <c r="D4" s="48"/>
      <c r="E4" s="94"/>
      <c r="F4" s="48"/>
      <c r="G4" s="41"/>
      <c r="H4" s="41"/>
    </row>
    <row r="5" spans="3:8" ht="68.25" customHeight="1">
      <c r="C5" s="540" t="s">
        <v>522</v>
      </c>
      <c r="D5" s="540"/>
      <c r="E5" s="540"/>
      <c r="F5" s="48"/>
      <c r="G5" s="41"/>
      <c r="H5" s="41"/>
    </row>
    <row r="6" spans="3:8" ht="26.25" customHeight="1">
      <c r="C6" s="90"/>
      <c r="D6" s="90"/>
      <c r="E6" s="90"/>
      <c r="F6" s="48"/>
      <c r="G6" s="41"/>
      <c r="H6" s="41"/>
    </row>
    <row r="7" spans="2:6" ht="18.75">
      <c r="B7" s="544" t="s">
        <v>288</v>
      </c>
      <c r="C7" s="544"/>
      <c r="D7" s="100"/>
      <c r="E7" s="98"/>
      <c r="F7" s="100"/>
    </row>
    <row r="8" spans="2:6" ht="18.75">
      <c r="B8" s="545" t="s">
        <v>270</v>
      </c>
      <c r="C8" s="545"/>
      <c r="D8" s="89"/>
      <c r="E8" s="99"/>
      <c r="F8" s="89"/>
    </row>
    <row r="9" spans="2:6" ht="15.75">
      <c r="B9" s="77"/>
      <c r="C9" s="78"/>
      <c r="D9" s="78"/>
      <c r="E9" s="78"/>
      <c r="F9" s="79" t="s">
        <v>69</v>
      </c>
    </row>
    <row r="10" spans="1:6" ht="118.5" customHeight="1">
      <c r="A10" s="31"/>
      <c r="B10" s="541" t="s">
        <v>239</v>
      </c>
      <c r="C10" s="541" t="s">
        <v>240</v>
      </c>
      <c r="D10" s="541" t="s">
        <v>241</v>
      </c>
      <c r="E10" s="541" t="s">
        <v>242</v>
      </c>
      <c r="F10" s="542" t="s">
        <v>237</v>
      </c>
    </row>
    <row r="11" spans="1:7" s="33" customFormat="1" ht="15.75">
      <c r="A11" s="32"/>
      <c r="B11" s="541"/>
      <c r="C11" s="541"/>
      <c r="D11" s="541"/>
      <c r="E11" s="541"/>
      <c r="F11" s="542"/>
      <c r="G11" s="18"/>
    </row>
    <row r="12" spans="1:7" s="33" customFormat="1" ht="15.75">
      <c r="A12" s="32"/>
      <c r="B12" s="20">
        <v>1</v>
      </c>
      <c r="C12" s="20">
        <f>B12+1</f>
        <v>2</v>
      </c>
      <c r="D12" s="20">
        <f>C12+1</f>
        <v>3</v>
      </c>
      <c r="E12" s="20">
        <f>D12+1</f>
        <v>4</v>
      </c>
      <c r="F12" s="20">
        <f>E12+1</f>
        <v>5</v>
      </c>
      <c r="G12" s="18"/>
    </row>
    <row r="13" spans="1:7" s="16" customFormat="1" ht="38.25" customHeight="1">
      <c r="A13" s="34"/>
      <c r="B13" s="59" t="s">
        <v>257</v>
      </c>
      <c r="C13" s="59" t="s">
        <v>258</v>
      </c>
      <c r="D13" s="60"/>
      <c r="E13" s="61" t="s">
        <v>255</v>
      </c>
      <c r="F13" s="67">
        <f>F14</f>
        <v>601000</v>
      </c>
      <c r="G13" s="8"/>
    </row>
    <row r="14" spans="1:7" s="13" customFormat="1" ht="42.75" customHeight="1">
      <c r="A14" s="27"/>
      <c r="B14" s="59" t="s">
        <v>260</v>
      </c>
      <c r="C14" s="59"/>
      <c r="D14" s="60"/>
      <c r="E14" s="61" t="s">
        <v>256</v>
      </c>
      <c r="F14" s="67">
        <f>F15</f>
        <v>601000</v>
      </c>
      <c r="G14" s="12"/>
    </row>
    <row r="15" spans="2:6" ht="119.25" customHeight="1">
      <c r="B15" s="305" t="s">
        <v>267</v>
      </c>
      <c r="C15" s="305" t="s">
        <v>10</v>
      </c>
      <c r="D15" s="306" t="s">
        <v>48</v>
      </c>
      <c r="E15" s="243" t="s">
        <v>238</v>
      </c>
      <c r="F15" s="127">
        <f>F16</f>
        <v>601000</v>
      </c>
    </row>
    <row r="16" spans="2:6" ht="59.25" customHeight="1">
      <c r="B16" s="305"/>
      <c r="C16" s="305"/>
      <c r="D16" s="306"/>
      <c r="E16" s="243" t="s">
        <v>318</v>
      </c>
      <c r="F16" s="127">
        <f>F17</f>
        <v>601000</v>
      </c>
    </row>
    <row r="17" spans="1:7" s="11" customFormat="1" ht="31.5">
      <c r="A17" s="10"/>
      <c r="B17" s="308"/>
      <c r="C17" s="308"/>
      <c r="D17" s="309"/>
      <c r="E17" s="310" t="s">
        <v>422</v>
      </c>
      <c r="F17" s="245">
        <v>601000</v>
      </c>
      <c r="G17" s="105"/>
    </row>
    <row r="18" spans="1:7" s="11" customFormat="1" ht="39.75" customHeight="1">
      <c r="A18" s="10"/>
      <c r="B18" s="129" t="s">
        <v>160</v>
      </c>
      <c r="C18" s="129" t="s">
        <v>161</v>
      </c>
      <c r="D18" s="135"/>
      <c r="E18" s="125" t="s">
        <v>279</v>
      </c>
      <c r="F18" s="132">
        <f>F19</f>
        <v>50000</v>
      </c>
      <c r="G18" s="105"/>
    </row>
    <row r="19" spans="1:7" s="11" customFormat="1" ht="37.5" customHeight="1">
      <c r="A19" s="10"/>
      <c r="B19" s="129" t="s">
        <v>162</v>
      </c>
      <c r="C19" s="129"/>
      <c r="D19" s="135"/>
      <c r="E19" s="125" t="s">
        <v>280</v>
      </c>
      <c r="F19" s="132">
        <f>F20</f>
        <v>50000</v>
      </c>
      <c r="G19" s="105"/>
    </row>
    <row r="20" spans="1:7" s="11" customFormat="1" ht="118.5" customHeight="1">
      <c r="A20" s="10"/>
      <c r="B20" s="305" t="s">
        <v>428</v>
      </c>
      <c r="C20" s="305" t="s">
        <v>10</v>
      </c>
      <c r="D20" s="306" t="s">
        <v>48</v>
      </c>
      <c r="E20" s="243" t="s">
        <v>238</v>
      </c>
      <c r="F20" s="307">
        <f>F21</f>
        <v>50000</v>
      </c>
      <c r="G20" s="105"/>
    </row>
    <row r="21" spans="1:7" s="11" customFormat="1" ht="55.5" customHeight="1">
      <c r="A21" s="10"/>
      <c r="B21" s="308"/>
      <c r="C21" s="305"/>
      <c r="D21" s="306"/>
      <c r="E21" s="243" t="s">
        <v>318</v>
      </c>
      <c r="F21" s="307">
        <f>F22</f>
        <v>50000</v>
      </c>
      <c r="G21" s="105"/>
    </row>
    <row r="22" spans="1:7" s="11" customFormat="1" ht="31.5">
      <c r="A22" s="10"/>
      <c r="B22" s="308"/>
      <c r="C22" s="308"/>
      <c r="D22" s="309"/>
      <c r="E22" s="310" t="s">
        <v>295</v>
      </c>
      <c r="F22" s="245">
        <v>50000</v>
      </c>
      <c r="G22" s="105"/>
    </row>
    <row r="23" spans="2:6" ht="33.75" customHeight="1">
      <c r="B23" s="75"/>
      <c r="C23" s="58"/>
      <c r="D23" s="58"/>
      <c r="E23" s="75" t="s">
        <v>234</v>
      </c>
      <c r="F23" s="76">
        <f>F13+F19</f>
        <v>651000</v>
      </c>
    </row>
    <row r="25" spans="2:6" ht="23.25" customHeight="1">
      <c r="B25" s="468" t="s">
        <v>569</v>
      </c>
      <c r="C25" s="9"/>
      <c r="D25" s="158"/>
      <c r="E25" s="469" t="s">
        <v>570</v>
      </c>
      <c r="F25" s="9"/>
    </row>
    <row r="26" spans="2:14" ht="20.25" customHeight="1">
      <c r="B26" s="539"/>
      <c r="C26" s="539"/>
      <c r="D26" s="539"/>
      <c r="E26" s="539"/>
      <c r="F26" s="539"/>
      <c r="G26" s="39"/>
      <c r="H26" s="38"/>
      <c r="I26" s="38"/>
      <c r="J26" s="38"/>
      <c r="K26" s="38"/>
      <c r="L26" s="38"/>
      <c r="M26" s="38"/>
      <c r="N26" s="38"/>
    </row>
    <row r="27" spans="2:14" ht="20.25" customHeight="1"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</row>
    <row r="28" spans="2:14" ht="30.75" customHeight="1">
      <c r="B28" s="539"/>
      <c r="C28" s="539"/>
      <c r="D28" s="539"/>
      <c r="E28" s="539"/>
      <c r="F28" s="539"/>
      <c r="G28" s="39"/>
      <c r="H28" s="38"/>
      <c r="I28" s="38"/>
      <c r="J28" s="38"/>
      <c r="K28" s="38"/>
      <c r="L28" s="38"/>
      <c r="M28" s="38"/>
      <c r="N28" s="38"/>
    </row>
    <row r="29" spans="2:14" ht="21" customHeight="1"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</row>
  </sheetData>
  <sheetProtection/>
  <mergeCells count="14">
    <mergeCell ref="F10:F11"/>
    <mergeCell ref="E2:G2"/>
    <mergeCell ref="B7:C7"/>
    <mergeCell ref="B8:C8"/>
    <mergeCell ref="B28:F28"/>
    <mergeCell ref="B29:N29"/>
    <mergeCell ref="B1:F1"/>
    <mergeCell ref="B26:F26"/>
    <mergeCell ref="B27:N27"/>
    <mergeCell ref="C5:E5"/>
    <mergeCell ref="B10:B11"/>
    <mergeCell ref="C10:C11"/>
    <mergeCell ref="D10:D11"/>
    <mergeCell ref="E10:E11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2021-12-15T17:10:39Z</cp:lastPrinted>
  <dcterms:created xsi:type="dcterms:W3CDTF">2011-12-26T08:50:57Z</dcterms:created>
  <dcterms:modified xsi:type="dcterms:W3CDTF">2021-12-17T10:03:33Z</dcterms:modified>
  <cp:category/>
  <cp:version/>
  <cp:contentType/>
  <cp:contentStatus/>
</cp:coreProperties>
</file>