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D:\disk  d\Budzet 2022\BUDZET 2022\Budzet zmini 11-28\після комісії\"/>
    </mc:Choice>
  </mc:AlternateContent>
  <xr:revisionPtr revIDLastSave="0" documentId="13_ncr:1_{1829BC46-9089-4F78-8BA1-ED4BA8CB613D}" xr6:coauthVersionLast="47" xr6:coauthVersionMax="47" xr10:uidLastSave="{00000000-0000-0000-0000-000000000000}"/>
  <bookViews>
    <workbookView xWindow="-120" yWindow="-120" windowWidth="29040" windowHeight="15840" activeTab="10" xr2:uid="{00000000-000D-0000-FFFF-FFFF00000000}"/>
  </bookViews>
  <sheets>
    <sheet name="dod 1 " sheetId="3" r:id="rId1"/>
    <sheet name="dod 2" sheetId="4" r:id="rId2"/>
    <sheet name="dod 3" sheetId="11" r:id="rId3"/>
    <sheet name="dod 4 " sheetId="10" r:id="rId4"/>
    <sheet name="dod 5" sheetId="9" r:id="rId5"/>
    <sheet name="dod 6" sheetId="6" r:id="rId6"/>
    <sheet name="dod 7" sheetId="12" r:id="rId7"/>
    <sheet name="dod  8" sheetId="7" r:id="rId8"/>
    <sheet name="dod  9" sheetId="2" r:id="rId9"/>
    <sheet name="dod 10" sheetId="8" r:id="rId10"/>
    <sheet name="dod 11" sheetId="13" r:id="rId11"/>
  </sheets>
  <externalReferences>
    <externalReference r:id="rId12"/>
  </externalReferences>
  <definedNames>
    <definedName name="_xlnm._FilterDatabase" localSheetId="7" hidden="1">'dod  8'!$A$9:$Q$124</definedName>
    <definedName name="_xlnm._FilterDatabase" localSheetId="10" hidden="1">'dod 11'!$B$14:$P$85</definedName>
    <definedName name="_xlnm._FilterDatabase" localSheetId="1" hidden="1">'dod 2'!$A$11:$S$136</definedName>
    <definedName name="_xlnm._FilterDatabase" localSheetId="2" hidden="1">'dod 3'!$B$11:$G$32</definedName>
    <definedName name="_xlnm._FilterDatabase" localSheetId="3" hidden="1">'dod 4 '!$A$11:$S$148</definedName>
    <definedName name="_xlnm._FilterDatabase" localSheetId="4" hidden="1">'dod 5'!$A$11:$S$138</definedName>
    <definedName name="_xlnm._FilterDatabase" localSheetId="6" hidden="1">'dod 7'!$B$14:$P$84</definedName>
    <definedName name="Z_0033AAC2_B920_4F73_9D48_CFFB5C8BCEA7_.wvu.FilterData" localSheetId="1" hidden="1">'dod 2'!$11:$23</definedName>
    <definedName name="Z_0033AAC2_B920_4F73_9D48_CFFB5C8BCEA7_.wvu.FilterData" localSheetId="3" hidden="1">'dod 4 '!$11:$23</definedName>
    <definedName name="Z_0033AAC2_B920_4F73_9D48_CFFB5C8BCEA7_.wvu.FilterData" localSheetId="4" hidden="1">'dod 5'!$11:$23</definedName>
    <definedName name="Z_0DED55E7_6230_4958_BCE1_6D418833AED3_.wvu.FilterData" localSheetId="1" hidden="1">'dod 2'!$11:$23</definedName>
    <definedName name="Z_0DED55E7_6230_4958_BCE1_6D418833AED3_.wvu.FilterData" localSheetId="3" hidden="1">'dod 4 '!$11:$23</definedName>
    <definedName name="Z_0DED55E7_6230_4958_BCE1_6D418833AED3_.wvu.FilterData" localSheetId="4" hidden="1">'dod 5'!$11:$23</definedName>
    <definedName name="Z_0E9CAA04_93B7_451C_85A9_461E9213A529_.wvu.FilterData" localSheetId="1" hidden="1">'dod 2'!$11:$23</definedName>
    <definedName name="Z_0E9CAA04_93B7_451C_85A9_461E9213A529_.wvu.FilterData" localSheetId="3" hidden="1">'dod 4 '!$11:$23</definedName>
    <definedName name="Z_0E9CAA04_93B7_451C_85A9_461E9213A529_.wvu.FilterData" localSheetId="4" hidden="1">'dod 5'!$11:$23</definedName>
    <definedName name="Z_11AC6440_61C3_4852_8190_8999E8F40364_.wvu.FilterData" localSheetId="7" hidden="1">'dod  8'!$A$8:$Q$105</definedName>
    <definedName name="Z_11AC6440_61C3_4852_8190_8999E8F40364_.wvu.FilterData" localSheetId="1" hidden="1">'dod 2'!$11:$131</definedName>
    <definedName name="Z_11AC6440_61C3_4852_8190_8999E8F40364_.wvu.FilterData" localSheetId="3" hidden="1">'dod 4 '!$11:$143</definedName>
    <definedName name="Z_11AC6440_61C3_4852_8190_8999E8F40364_.wvu.FilterData" localSheetId="4" hidden="1">'dod 5'!$11:$133</definedName>
    <definedName name="Z_1BDCE276_7339_44E6_B381_E5C4CEFAE7BF_.wvu.FilterData" localSheetId="7" hidden="1">'dod  8'!$A$8:$Q$122</definedName>
    <definedName name="Z_1C9132E7_CA75_44BA_8ABD_6F2BEE887752_.wvu.FilterData" localSheetId="1" hidden="1">'dod 2'!$11:$131</definedName>
    <definedName name="Z_1C9132E7_CA75_44BA_8ABD_6F2BEE887752_.wvu.FilterData" localSheetId="3" hidden="1">'dod 4 '!$11:$143</definedName>
    <definedName name="Z_1C9132E7_CA75_44BA_8ABD_6F2BEE887752_.wvu.FilterData" localSheetId="4" hidden="1">'dod 5'!$11:$133</definedName>
    <definedName name="Z_1DEAC8BC_B765_49FE_9A02_C3463788AC3A_.wvu.FilterData" localSheetId="1" hidden="1">'dod 2'!$11:$131</definedName>
    <definedName name="Z_1DEAC8BC_B765_49FE_9A02_C3463788AC3A_.wvu.FilterData" localSheetId="3" hidden="1">'dod 4 '!$11:$143</definedName>
    <definedName name="Z_1DEAC8BC_B765_49FE_9A02_C3463788AC3A_.wvu.FilterData" localSheetId="4" hidden="1">'dod 5'!$11:$133</definedName>
    <definedName name="Z_28997FF8_C6EF_4EB7_AE53_CE712CBB7746_.wvu.FilterData" localSheetId="7" hidden="1">'dod  8'!$A$8:$Q$105</definedName>
    <definedName name="Z_28997FF8_C6EF_4EB7_AE53_CE712CBB7746_.wvu.FilterData" localSheetId="1" hidden="1">'dod 2'!$11:$131</definedName>
    <definedName name="Z_28997FF8_C6EF_4EB7_AE53_CE712CBB7746_.wvu.FilterData" localSheetId="3" hidden="1">'dod 4 '!$11:$143</definedName>
    <definedName name="Z_28997FF8_C6EF_4EB7_AE53_CE712CBB7746_.wvu.FilterData" localSheetId="4" hidden="1">'dod 5'!$11:$133</definedName>
    <definedName name="Z_2B21C675_AF65_49D3_9499_0872BF809CCE_.wvu.FilterData" localSheetId="1" hidden="1">'dod 2'!$11:$131</definedName>
    <definedName name="Z_2B21C675_AF65_49D3_9499_0872BF809CCE_.wvu.FilterData" localSheetId="3" hidden="1">'dod 4 '!$11:$143</definedName>
    <definedName name="Z_2B21C675_AF65_49D3_9499_0872BF809CCE_.wvu.FilterData" localSheetId="4" hidden="1">'dod 5'!$11:$133</definedName>
    <definedName name="Z_31FC14EC_B4AA_4144_99F2_5D86B82BE01F_.wvu.FilterData" localSheetId="7" hidden="1">'dod  8'!$A$8:$Q$105</definedName>
    <definedName name="Z_31FC14EC_B4AA_4144_99F2_5D86B82BE01F_.wvu.FilterData" localSheetId="1" hidden="1">'dod 2'!$11:$131</definedName>
    <definedName name="Z_31FC14EC_B4AA_4144_99F2_5D86B82BE01F_.wvu.FilterData" localSheetId="3" hidden="1">'dod 4 '!$11:$143</definedName>
    <definedName name="Z_31FC14EC_B4AA_4144_99F2_5D86B82BE01F_.wvu.FilterData" localSheetId="4" hidden="1">'dod 5'!$11:$133</definedName>
    <definedName name="Z_3C6734B6_C220_41DD_9B45_03CED7F17FB3_.wvu.FilterData" localSheetId="1" hidden="1">'dod 2'!$11:$11</definedName>
    <definedName name="Z_3C6734B6_C220_41DD_9B45_03CED7F17FB3_.wvu.FilterData" localSheetId="3" hidden="1">'dod 4 '!$11:$11</definedName>
    <definedName name="Z_3C6734B6_C220_41DD_9B45_03CED7F17FB3_.wvu.FilterData" localSheetId="4" hidden="1">'dod 5'!$11:$11</definedName>
    <definedName name="Z_3E478DCD_EC0A_4AA2_A897_308C06E00A62_.wvu.FilterData" localSheetId="7" hidden="1">'dod  8'!$A$8:$Q$122</definedName>
    <definedName name="Z_4414F7FE_09B9_48B9_9B91_BDA3C39C803A_.wvu.FilterData" localSheetId="1" hidden="1">'dod 2'!$11:$131</definedName>
    <definedName name="Z_4414F7FE_09B9_48B9_9B91_BDA3C39C803A_.wvu.FilterData" localSheetId="3" hidden="1">'dod 4 '!$11:$143</definedName>
    <definedName name="Z_4414F7FE_09B9_48B9_9B91_BDA3C39C803A_.wvu.FilterData" localSheetId="4" hidden="1">'dod 5'!$11:$133</definedName>
    <definedName name="Z_445F1775_CED9_4D0B_A7BD_41493DC3AC4E_.wvu.FilterData" localSheetId="7" hidden="1">'dod  8'!$A$8:$Q$105</definedName>
    <definedName name="Z_445F1775_CED9_4D0B_A7BD_41493DC3AC4E_.wvu.FilterData" localSheetId="1" hidden="1">'dod 2'!$11:$131</definedName>
    <definedName name="Z_445F1775_CED9_4D0B_A7BD_41493DC3AC4E_.wvu.FilterData" localSheetId="3" hidden="1">'dod 4 '!$11:$143</definedName>
    <definedName name="Z_445F1775_CED9_4D0B_A7BD_41493DC3AC4E_.wvu.FilterData" localSheetId="4" hidden="1">'dod 5'!$11:$133</definedName>
    <definedName name="Z_48361BAD_8962_4A12_AC97_C282DE613703_.wvu.FilterData" localSheetId="7" hidden="1">'dod  8'!$A$8:$Q$105</definedName>
    <definedName name="Z_48361BAD_8962_4A12_AC97_C282DE613703_.wvu.FilterData" localSheetId="1" hidden="1">'dod 2'!$11:$131</definedName>
    <definedName name="Z_48361BAD_8962_4A12_AC97_C282DE613703_.wvu.FilterData" localSheetId="3" hidden="1">'dod 4 '!$11:$143</definedName>
    <definedName name="Z_48361BAD_8962_4A12_AC97_C282DE613703_.wvu.FilterData" localSheetId="4" hidden="1">'dod 5'!$11:$133</definedName>
    <definedName name="Z_54DB8D45_4502_4737_8D52_8D5C09276933_.wvu.FilterData" localSheetId="1" hidden="1">'dod 2'!$A$11:$HK$131</definedName>
    <definedName name="Z_54DB8D45_4502_4737_8D52_8D5C09276933_.wvu.FilterData" localSheetId="3" hidden="1">'dod 4 '!$A$11:$HK$143</definedName>
    <definedName name="Z_54DB8D45_4502_4737_8D52_8D5C09276933_.wvu.FilterData" localSheetId="4" hidden="1">'dod 5'!$A$11:$HK$133</definedName>
    <definedName name="Z_56A43029_7913_4B2A_9B15_4E68CF4AEF53_.wvu.FilterData" localSheetId="1" hidden="1">'dod 2'!$11:$131</definedName>
    <definedName name="Z_56A43029_7913_4B2A_9B15_4E68CF4AEF53_.wvu.FilterData" localSheetId="3" hidden="1">'dod 4 '!$11:$143</definedName>
    <definedName name="Z_56A43029_7913_4B2A_9B15_4E68CF4AEF53_.wvu.FilterData" localSheetId="4" hidden="1">'dod 5'!$11:$133</definedName>
    <definedName name="Z_56D99FDE_5699_44AD_AA0B_F2B3FC854751_.wvu.FilterData" localSheetId="7" hidden="1">'dod  8'!$A$8:$Q$122</definedName>
    <definedName name="Z_6F106A4C_0BDB_4B41_B249_ECCE803744DB_.wvu.FilterData" localSheetId="7" hidden="1">'dod  8'!$A$8:$Q$105</definedName>
    <definedName name="Z_6F106A4C_0BDB_4B41_B249_ECCE803744DB_.wvu.FilterData" localSheetId="1" hidden="1">'dod 2'!$11:$131</definedName>
    <definedName name="Z_6F106A4C_0BDB_4B41_B249_ECCE803744DB_.wvu.FilterData" localSheetId="3" hidden="1">'dod 4 '!$11:$143</definedName>
    <definedName name="Z_6F106A4C_0BDB_4B41_B249_ECCE803744DB_.wvu.FilterData" localSheetId="4" hidden="1">'dod 5'!$11:$133</definedName>
    <definedName name="Z_8ACD6896_2C32_485C_95AA_7BCA3249DD81_.wvu.FilterData" localSheetId="7" hidden="1">'dod  8'!$A$8:$Q$105</definedName>
    <definedName name="Z_8ACD6896_2C32_485C_95AA_7BCA3249DD81_.wvu.FilterData" localSheetId="1" hidden="1">'dod 2'!$11:$131</definedName>
    <definedName name="Z_8ACD6896_2C32_485C_95AA_7BCA3249DD81_.wvu.FilterData" localSheetId="3" hidden="1">'dod 4 '!$11:$143</definedName>
    <definedName name="Z_8ACD6896_2C32_485C_95AA_7BCA3249DD81_.wvu.FilterData" localSheetId="4" hidden="1">'dod 5'!$11:$133</definedName>
    <definedName name="Z_8B83762C_0289_468A_B258_CF4837FE318E_.wvu.FilterData" localSheetId="1" hidden="1">'dod 2'!$A$11:$HK$131</definedName>
    <definedName name="Z_8B83762C_0289_468A_B258_CF4837FE318E_.wvu.FilterData" localSheetId="3" hidden="1">'dod 4 '!$A$11:$HK$143</definedName>
    <definedName name="Z_8B83762C_0289_468A_B258_CF4837FE318E_.wvu.FilterData" localSheetId="4" hidden="1">'dod 5'!$A$11:$HK$133</definedName>
    <definedName name="Z_8EAF6A76_D45E_47A7_B89D_C380A02EB2AE_.wvu.FilterData" localSheetId="7" hidden="1">'dod  8'!$A$8:$Q$122</definedName>
    <definedName name="Z_8EAF6A76_D45E_47A7_B89D_C380A02EB2AE_.wvu.FilterData" localSheetId="1" hidden="1">'dod 2'!$A$11:$HK$131</definedName>
    <definedName name="Z_8EAF6A76_D45E_47A7_B89D_C380A02EB2AE_.wvu.FilterData" localSheetId="2" hidden="1">'dod 3'!$B$11:$G$32</definedName>
    <definedName name="Z_8EAF6A76_D45E_47A7_B89D_C380A02EB2AE_.wvu.FilterData" localSheetId="3" hidden="1">'dod 4 '!$A$11:$HK$143</definedName>
    <definedName name="Z_8EAF6A76_D45E_47A7_B89D_C380A02EB2AE_.wvu.FilterData" localSheetId="4" hidden="1">'dod 5'!$A$11:$HK$133</definedName>
    <definedName name="Z_8EAF6A76_D45E_47A7_B89D_C380A02EB2AE_.wvu.Rows" localSheetId="1" hidden="1">'dod 2'!$4:$6</definedName>
    <definedName name="Z_8EAF6A76_D45E_47A7_B89D_C380A02EB2AE_.wvu.Rows" localSheetId="3" hidden="1">'dod 4 '!$4:$6</definedName>
    <definedName name="Z_8EAF6A76_D45E_47A7_B89D_C380A02EB2AE_.wvu.Rows" localSheetId="4" hidden="1">'dod 5'!$4:$6</definedName>
    <definedName name="Z_9721A3CD_3755_42CC_8166_6A911540B326_.wvu.FilterData" localSheetId="7" hidden="1">'dod  8'!$A$8:$Q$105</definedName>
    <definedName name="Z_9721A3CD_3755_42CC_8166_6A911540B326_.wvu.FilterData" localSheetId="1" hidden="1">'dod 2'!$11:$131</definedName>
    <definedName name="Z_9721A3CD_3755_42CC_8166_6A911540B326_.wvu.FilterData" localSheetId="3" hidden="1">'dod 4 '!$11:$143</definedName>
    <definedName name="Z_9721A3CD_3755_42CC_8166_6A911540B326_.wvu.FilterData" localSheetId="4" hidden="1">'dod 5'!$11:$133</definedName>
    <definedName name="Z_9B78FD2B_9B01_4980_8301_268E668BE3A3_.wvu.FilterData" localSheetId="7" hidden="1">'dod  8'!$A$8:$Q$122</definedName>
    <definedName name="Z_9E47F7FB_2299_4731_9D48_129AD813B899_.wvu.FilterData" localSheetId="1" hidden="1">'dod 2'!$11:$23</definedName>
    <definedName name="Z_9E47F7FB_2299_4731_9D48_129AD813B899_.wvu.FilterData" localSheetId="3" hidden="1">'dod 4 '!$11:$23</definedName>
    <definedName name="Z_9E47F7FB_2299_4731_9D48_129AD813B899_.wvu.FilterData" localSheetId="4" hidden="1">'dod 5'!$11:$23</definedName>
    <definedName name="Z_B24EFFB4_7561_4B2C_A446_3A3B42B84F18_.wvu.FilterData" localSheetId="1" hidden="1">'dod 2'!$A$11:$HK$131</definedName>
    <definedName name="Z_B24EFFB4_7561_4B2C_A446_3A3B42B84F18_.wvu.FilterData" localSheetId="3" hidden="1">'dod 4 '!$A$11:$HK$143</definedName>
    <definedName name="Z_B24EFFB4_7561_4B2C_A446_3A3B42B84F18_.wvu.FilterData" localSheetId="4" hidden="1">'dod 5'!$A$11:$HK$133</definedName>
    <definedName name="Z_B79DC64E_FF8D_43DA_A470_9D3E3809D007_.wvu.FilterData" localSheetId="1" hidden="1">'dod 2'!$A$11:$HK$131</definedName>
    <definedName name="Z_B79DC64E_FF8D_43DA_A470_9D3E3809D007_.wvu.FilterData" localSheetId="3" hidden="1">'dod 4 '!$A$11:$HK$143</definedName>
    <definedName name="Z_B79DC64E_FF8D_43DA_A470_9D3E3809D007_.wvu.FilterData" localSheetId="4" hidden="1">'dod 5'!$A$11:$HK$133</definedName>
    <definedName name="Z_C51CB9D0_868C_4048_B98E_075DB045FF17_.wvu.FilterData" localSheetId="7" hidden="1">'dod  8'!$A$8:$Q$122</definedName>
    <definedName name="Z_C82A7848_724A_498B_92F9_90C37C3827DB_.wvu.FilterData" localSheetId="7" hidden="1">'dod  8'!$A$8:$Q$122</definedName>
    <definedName name="Z_C82A7848_724A_498B_92F9_90C37C3827DB_.wvu.FilterData" localSheetId="2" hidden="1">'dod 3'!$B$11:$G$32</definedName>
    <definedName name="Z_D045CBB3_E236_4B88_9BC4_A2FE8FE44B31_.wvu.Cols" localSheetId="1" hidden="1">'dod 2'!#REF!</definedName>
    <definedName name="Z_D045CBB3_E236_4B88_9BC4_A2FE8FE44B31_.wvu.Cols" localSheetId="3" hidden="1">'dod 4 '!#REF!</definedName>
    <definedName name="Z_D045CBB3_E236_4B88_9BC4_A2FE8FE44B31_.wvu.Cols" localSheetId="4" hidden="1">'dod 5'!#REF!</definedName>
    <definedName name="Z_D045CBB3_E236_4B88_9BC4_A2FE8FE44B31_.wvu.FilterData" localSheetId="7" hidden="1">'dod  8'!$A$8:$Q$122</definedName>
    <definedName name="Z_D045CBB3_E236_4B88_9BC4_A2FE8FE44B31_.wvu.FilterData" localSheetId="1" hidden="1">'dod 2'!$11:$131</definedName>
    <definedName name="Z_D045CBB3_E236_4B88_9BC4_A2FE8FE44B31_.wvu.FilterData" localSheetId="2" hidden="1">'dod 3'!$B$11:$G$32</definedName>
    <definedName name="Z_D045CBB3_E236_4B88_9BC4_A2FE8FE44B31_.wvu.FilterData" localSheetId="3" hidden="1">'dod 4 '!$11:$143</definedName>
    <definedName name="Z_D045CBB3_E236_4B88_9BC4_A2FE8FE44B31_.wvu.FilterData" localSheetId="4" hidden="1">'dod 5'!$11:$133</definedName>
    <definedName name="Z_D045CBB3_E236_4B88_9BC4_A2FE8FE44B31_.wvu.PrintArea" localSheetId="1" hidden="1">'dod 2'!$A$1:$P$131</definedName>
    <definedName name="Z_D045CBB3_E236_4B88_9BC4_A2FE8FE44B31_.wvu.PrintArea" localSheetId="3" hidden="1">'dod 4 '!$A$1:$P$143</definedName>
    <definedName name="Z_D045CBB3_E236_4B88_9BC4_A2FE8FE44B31_.wvu.PrintArea" localSheetId="4" hidden="1">'dod 5'!$A$1:$P$133</definedName>
    <definedName name="Z_D045CBB3_E236_4B88_9BC4_A2FE8FE44B31_.wvu.PrintTitles" localSheetId="1" hidden="1">'dod 2'!$7:$11</definedName>
    <definedName name="Z_D045CBB3_E236_4B88_9BC4_A2FE8FE44B31_.wvu.PrintTitles" localSheetId="3" hidden="1">'dod 4 '!$7:$11</definedName>
    <definedName name="Z_D045CBB3_E236_4B88_9BC4_A2FE8FE44B31_.wvu.PrintTitles" localSheetId="4" hidden="1">'dod 5'!$7:$11</definedName>
    <definedName name="Z_D6A5DFF8_EF5E_40FF_A50E_B25B1F597FDE_.wvu.FilterData" localSheetId="7" hidden="1">'dod  8'!$A$8:$Q$122</definedName>
    <definedName name="Z_D6A5DFF8_EF5E_40FF_A50E_B25B1F597FDE_.wvu.FilterData" localSheetId="2" hidden="1">'dod 3'!$B$11:$G$32</definedName>
    <definedName name="Z_D6A5DFF8_EF5E_40FF_A50E_B25B1F597FDE_.wvu.PrintArea" localSheetId="7" hidden="1">'dod  8'!$A$1:$K$126</definedName>
    <definedName name="Z_D6A5DFF8_EF5E_40FF_A50E_B25B1F597FDE_.wvu.PrintTitles" localSheetId="7" hidden="1">'dod  8'!$7:$8</definedName>
    <definedName name="Z_D6A5DFF8_EF5E_40FF_A50E_B25B1F597FDE_.wvu.Rows" localSheetId="2" hidden="1">'dod 3'!$18:$18,'dod 3'!$30:$30</definedName>
    <definedName name="Z_D73771AD_3E6F_402A_9FCF_E7AE9A12229F_.wvu.FilterData" localSheetId="7" hidden="1">'dod  8'!$A$8:$Q$122</definedName>
    <definedName name="Z_DEDEAA64_51CB_4221_8ECB_BE176A2F537D_.wvu.FilterData" localSheetId="1" hidden="1">'dod 2'!$11:$131</definedName>
    <definedName name="Z_DEDEAA64_51CB_4221_8ECB_BE176A2F537D_.wvu.FilterData" localSheetId="3" hidden="1">'dod 4 '!$11:$143</definedName>
    <definedName name="Z_DEDEAA64_51CB_4221_8ECB_BE176A2F537D_.wvu.FilterData" localSheetId="4" hidden="1">'dod 5'!$11:$133</definedName>
    <definedName name="Z_DF5E3046_FFAF_4551_8634_989A1D0D3888_.wvu.FilterData" localSheetId="7" hidden="1">'dod  8'!$A$8:$Q$122</definedName>
    <definedName name="Z_DF5E3046_FFAF_4551_8634_989A1D0D3888_.wvu.FilterData" localSheetId="2" hidden="1">'dod 3'!$B$11:$G$32</definedName>
    <definedName name="Z_E03E1436_B621_4C8D_8DEA_D88962720410_.wvu.FilterData" localSheetId="7" hidden="1">'dod  8'!$A$8:$Q$122</definedName>
    <definedName name="Z_E1C403DE_F5B4_4778_BB71_C2DBA686D8F9_.wvu.FilterData" localSheetId="1" hidden="1">'dod 2'!$A$11:$HK$131</definedName>
    <definedName name="Z_E1C403DE_F5B4_4778_BB71_C2DBA686D8F9_.wvu.FilterData" localSheetId="3" hidden="1">'dod 4 '!$A$11:$HK$143</definedName>
    <definedName name="Z_E1C403DE_F5B4_4778_BB71_C2DBA686D8F9_.wvu.FilterData" localSheetId="4" hidden="1">'dod 5'!$A$11:$HK$133</definedName>
    <definedName name="Z_E69209E9_3AD2_46BA_ADC5_0F4266D7A650_.wvu.FilterData" localSheetId="1" hidden="1">'dod 2'!$11:$23</definedName>
    <definedName name="Z_E69209E9_3AD2_46BA_ADC5_0F4266D7A650_.wvu.FilterData" localSheetId="3" hidden="1">'dod 4 '!$11:$23</definedName>
    <definedName name="Z_E69209E9_3AD2_46BA_ADC5_0F4266D7A650_.wvu.FilterData" localSheetId="4" hidden="1">'dod 5'!$11:$23</definedName>
    <definedName name="Z_EB9C9FFE_0593_441C_AAA2_54860C1497B2_.wvu.FilterData" localSheetId="7" hidden="1">'dod  8'!$A$8:$Q$122</definedName>
    <definedName name="Z_EB9C9FFE_0593_441C_AAA2_54860C1497B2_.wvu.FilterData" localSheetId="1" hidden="1">'dod 2'!$A$11:$HK$131</definedName>
    <definedName name="Z_EB9C9FFE_0593_441C_AAA2_54860C1497B2_.wvu.FilterData" localSheetId="3" hidden="1">'dod 4 '!$A$11:$HK$143</definedName>
    <definedName name="Z_EB9C9FFE_0593_441C_AAA2_54860C1497B2_.wvu.FilterData" localSheetId="4" hidden="1">'dod 5'!$A$11:$HK$133</definedName>
    <definedName name="Z_EBD4F76E_B62E_4938_95BF_9D94C0C7E94B_.wvu.FilterData" localSheetId="7" hidden="1">'dod  8'!$A$8:$Q$122</definedName>
    <definedName name="Z_F7C85F27_C133_4579_923F_B2800FCB2B15_.wvu.FilterData" localSheetId="7" hidden="1">'dod  8'!$A$8:$Q$105</definedName>
    <definedName name="_xlnm.Print_Titles" localSheetId="7">'dod  8'!$7:$9</definedName>
    <definedName name="_xlnm.Print_Titles" localSheetId="8">'dod  9'!$9:$10</definedName>
    <definedName name="_xlnm.Print_Titles" localSheetId="9">'dod 10'!$9:$13</definedName>
    <definedName name="_xlnm.Print_Titles" localSheetId="10">'dod 11'!$13:$14</definedName>
    <definedName name="_xlnm.Print_Titles" localSheetId="1">'dod 2'!$7:$10</definedName>
    <definedName name="_xlnm.Print_Titles" localSheetId="3">'dod 4 '!$7:$10</definedName>
    <definedName name="_xlnm.Print_Titles" localSheetId="4">'dod 5'!$7:$10</definedName>
    <definedName name="_xlnm.Print_Titles" localSheetId="6">'dod 7'!$13:$14</definedName>
    <definedName name="_xlnm.Print_Area" localSheetId="7">'dod  8'!$A$1:$K$127</definedName>
    <definedName name="_xlnm.Print_Area" localSheetId="8">'dod  9'!$A$1:$F$118</definedName>
    <definedName name="_xlnm.Print_Area" localSheetId="0">'dod 1 '!$A$1:$F$119</definedName>
    <definedName name="_xlnm.Print_Area" localSheetId="9">'dod 10'!$A$1:$P$118</definedName>
    <definedName name="_xlnm.Print_Area" localSheetId="10">'dod 11'!$A$1:$L$91</definedName>
    <definedName name="_xlnm.Print_Area" localSheetId="1">'dod 2'!$A$1:$P$145</definedName>
    <definedName name="_xlnm.Print_Area" localSheetId="2">'dod 3'!$A$1:$G$36</definedName>
    <definedName name="_xlnm.Print_Area" localSheetId="3">'dod 4 '!$A$1:$P$152</definedName>
    <definedName name="_xlnm.Print_Area" localSheetId="4">'dod 5'!$A$1:$P$147</definedName>
    <definedName name="_xlnm.Print_Area" localSheetId="5">'dod 6'!$A$1:$G$27</definedName>
    <definedName name="_xlnm.Print_Area" localSheetId="6">'dod 7'!$A$1:$L$90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6" i="7" l="1"/>
  <c r="I102" i="7"/>
  <c r="F104" i="9"/>
  <c r="F125" i="8"/>
  <c r="G125" i="8"/>
  <c r="H125" i="8"/>
  <c r="I125" i="8"/>
  <c r="J125" i="8"/>
  <c r="K125" i="8"/>
  <c r="L125" i="8"/>
  <c r="M125" i="8"/>
  <c r="N125" i="8"/>
  <c r="O125" i="8"/>
  <c r="P125" i="8"/>
  <c r="E125" i="8"/>
  <c r="F37" i="9"/>
  <c r="F36" i="9"/>
  <c r="I92" i="7"/>
  <c r="J58" i="7"/>
  <c r="K58" i="7" s="1"/>
  <c r="F99" i="9"/>
  <c r="K103" i="9" l="1"/>
  <c r="K104" i="4"/>
  <c r="O34" i="4"/>
  <c r="K34" i="4"/>
  <c r="H36" i="9" l="1"/>
  <c r="F48" i="9"/>
  <c r="F64" i="9"/>
  <c r="F68" i="9"/>
  <c r="E91" i="9"/>
  <c r="E136" i="9"/>
  <c r="E135" i="9"/>
  <c r="E146" i="10"/>
  <c r="I54" i="13" l="1"/>
  <c r="F13" i="9"/>
  <c r="F12" i="9" s="1"/>
  <c r="G13" i="9"/>
  <c r="G12" i="9" s="1"/>
  <c r="H13" i="9"/>
  <c r="H12" i="9" s="1"/>
  <c r="I13" i="9"/>
  <c r="I12" i="9" s="1"/>
  <c r="L13" i="9"/>
  <c r="L12" i="9" s="1"/>
  <c r="M13" i="9"/>
  <c r="M12" i="9" s="1"/>
  <c r="N13" i="9"/>
  <c r="N12" i="9" s="1"/>
  <c r="E14" i="9"/>
  <c r="J14" i="9"/>
  <c r="P14" i="9" s="1"/>
  <c r="E15" i="9"/>
  <c r="J15" i="9"/>
  <c r="P15" i="9" s="1"/>
  <c r="E16" i="9"/>
  <c r="J16" i="9"/>
  <c r="P16" i="9" s="1"/>
  <c r="E17" i="9"/>
  <c r="P17" i="9" s="1"/>
  <c r="E18" i="9"/>
  <c r="J18" i="9"/>
  <c r="P18" i="9"/>
  <c r="E19" i="9"/>
  <c r="J19" i="9"/>
  <c r="P19" i="9" s="1"/>
  <c r="E20" i="9"/>
  <c r="P20" i="9" s="1"/>
  <c r="E21" i="9"/>
  <c r="K21" i="9"/>
  <c r="K13" i="9" s="1"/>
  <c r="K12" i="9" s="1"/>
  <c r="O21" i="9"/>
  <c r="E22" i="9"/>
  <c r="J22" i="9"/>
  <c r="P22" i="9" s="1"/>
  <c r="E23" i="9"/>
  <c r="J23" i="9"/>
  <c r="P23" i="9" s="1"/>
  <c r="E24" i="9"/>
  <c r="J24" i="9"/>
  <c r="P24" i="9" s="1"/>
  <c r="J25" i="9"/>
  <c r="E26" i="9"/>
  <c r="J26" i="9"/>
  <c r="E27" i="9"/>
  <c r="J27" i="9"/>
  <c r="P27" i="9"/>
  <c r="E28" i="9"/>
  <c r="J28" i="9"/>
  <c r="P28" i="9" s="1"/>
  <c r="E29" i="9"/>
  <c r="J29" i="9"/>
  <c r="P29" i="9" s="1"/>
  <c r="E30" i="9"/>
  <c r="J30" i="9"/>
  <c r="E31" i="9"/>
  <c r="J31" i="9"/>
  <c r="P31" i="9" s="1"/>
  <c r="E32" i="9"/>
  <c r="J32" i="9"/>
  <c r="E35" i="9"/>
  <c r="J35" i="9"/>
  <c r="J36" i="9"/>
  <c r="E37" i="9"/>
  <c r="J37" i="9"/>
  <c r="E38" i="9"/>
  <c r="P38" i="9" s="1"/>
  <c r="E39" i="9"/>
  <c r="J39" i="9"/>
  <c r="P39" i="9"/>
  <c r="E40" i="9"/>
  <c r="J40" i="9"/>
  <c r="P40" i="9" s="1"/>
  <c r="E41" i="9"/>
  <c r="J41" i="9"/>
  <c r="P41" i="9" s="1"/>
  <c r="E42" i="9"/>
  <c r="J42" i="9"/>
  <c r="E43" i="9"/>
  <c r="J43" i="9"/>
  <c r="P43" i="9" s="1"/>
  <c r="E44" i="9"/>
  <c r="J44" i="9"/>
  <c r="E45" i="9"/>
  <c r="J45" i="9"/>
  <c r="E46" i="9"/>
  <c r="J46" i="9"/>
  <c r="E47" i="9"/>
  <c r="J47" i="9"/>
  <c r="P47" i="9"/>
  <c r="E48" i="9"/>
  <c r="J48" i="9"/>
  <c r="P48" i="9" s="1"/>
  <c r="E49" i="9"/>
  <c r="J49" i="9"/>
  <c r="P49" i="9" s="1"/>
  <c r="E50" i="9"/>
  <c r="J50" i="9"/>
  <c r="E51" i="9"/>
  <c r="J51" i="9"/>
  <c r="P51" i="9" s="1"/>
  <c r="E52" i="9"/>
  <c r="J52" i="9"/>
  <c r="E54" i="9"/>
  <c r="P54" i="9" s="1"/>
  <c r="E55" i="9"/>
  <c r="P55" i="9" s="1"/>
  <c r="E56" i="9"/>
  <c r="P56" i="9" s="1"/>
  <c r="F57" i="9"/>
  <c r="E57" i="9" s="1"/>
  <c r="G57" i="9"/>
  <c r="G34" i="9" s="1"/>
  <c r="G33" i="9" s="1"/>
  <c r="H57" i="9"/>
  <c r="I57" i="9"/>
  <c r="I34" i="9" s="1"/>
  <c r="I33" i="9" s="1"/>
  <c r="J57" i="9"/>
  <c r="K57" i="9"/>
  <c r="K34" i="9" s="1"/>
  <c r="K33" i="9" s="1"/>
  <c r="L57" i="9"/>
  <c r="L34" i="9" s="1"/>
  <c r="M57" i="9"/>
  <c r="M34" i="9" s="1"/>
  <c r="M33" i="9" s="1"/>
  <c r="N57" i="9"/>
  <c r="N34" i="9" s="1"/>
  <c r="N33" i="9" s="1"/>
  <c r="O57" i="9"/>
  <c r="O34" i="9" s="1"/>
  <c r="O33" i="9" s="1"/>
  <c r="P57" i="9"/>
  <c r="E58" i="9"/>
  <c r="P58" i="9" s="1"/>
  <c r="E59" i="9"/>
  <c r="J59" i="9"/>
  <c r="E60" i="9"/>
  <c r="P60" i="9" s="1"/>
  <c r="E61" i="9"/>
  <c r="J61" i="9"/>
  <c r="E62" i="9"/>
  <c r="J62" i="9"/>
  <c r="E63" i="9"/>
  <c r="J63" i="9"/>
  <c r="P63" i="9"/>
  <c r="E64" i="9"/>
  <c r="J64" i="9"/>
  <c r="P64" i="9" s="1"/>
  <c r="E65" i="9"/>
  <c r="J65" i="9"/>
  <c r="P65" i="9" s="1"/>
  <c r="E66" i="9"/>
  <c r="J66" i="9"/>
  <c r="E67" i="9"/>
  <c r="P67" i="9" s="1"/>
  <c r="E68" i="9"/>
  <c r="J68" i="9"/>
  <c r="E69" i="9"/>
  <c r="P69" i="9" s="1"/>
  <c r="G71" i="9"/>
  <c r="G70" i="9" s="1"/>
  <c r="H71" i="9"/>
  <c r="H70" i="9" s="1"/>
  <c r="I71" i="9"/>
  <c r="I70" i="9" s="1"/>
  <c r="K71" i="9"/>
  <c r="K70" i="9" s="1"/>
  <c r="L71" i="9"/>
  <c r="M71" i="9"/>
  <c r="M70" i="9" s="1"/>
  <c r="N71" i="9"/>
  <c r="N70" i="9" s="1"/>
  <c r="O71" i="9"/>
  <c r="O70" i="9" s="1"/>
  <c r="F72" i="9"/>
  <c r="J72" i="9"/>
  <c r="E73" i="9"/>
  <c r="P73" i="9" s="1"/>
  <c r="E74" i="9"/>
  <c r="P74" i="9" s="1"/>
  <c r="E75" i="9"/>
  <c r="J75" i="9"/>
  <c r="E76" i="9"/>
  <c r="P76" i="9" s="1"/>
  <c r="E77" i="9"/>
  <c r="P77" i="9" s="1"/>
  <c r="E78" i="9"/>
  <c r="P78" i="9" s="1"/>
  <c r="E79" i="9"/>
  <c r="J79" i="9"/>
  <c r="E80" i="9"/>
  <c r="P80" i="9" s="1"/>
  <c r="F81" i="9"/>
  <c r="E81" i="9" s="1"/>
  <c r="J81" i="9"/>
  <c r="E82" i="9"/>
  <c r="J82" i="9"/>
  <c r="P82" i="9" s="1"/>
  <c r="G84" i="9"/>
  <c r="G83" i="9" s="1"/>
  <c r="L84" i="9"/>
  <c r="M84" i="9"/>
  <c r="M83" i="9" s="1"/>
  <c r="N84" i="9"/>
  <c r="N83" i="9" s="1"/>
  <c r="H85" i="9"/>
  <c r="J85" i="9"/>
  <c r="F86" i="9"/>
  <c r="E86" i="9" s="1"/>
  <c r="J86" i="9"/>
  <c r="E87" i="9"/>
  <c r="J87" i="9"/>
  <c r="E88" i="9"/>
  <c r="J88" i="9"/>
  <c r="E89" i="9"/>
  <c r="J89" i="9"/>
  <c r="P89" i="9"/>
  <c r="E90" i="9"/>
  <c r="J90" i="9"/>
  <c r="P90" i="9" s="1"/>
  <c r="J91" i="9"/>
  <c r="P91" i="9" s="1"/>
  <c r="I92" i="9"/>
  <c r="J92" i="9"/>
  <c r="E93" i="9"/>
  <c r="J93" i="9"/>
  <c r="P93" i="9"/>
  <c r="E94" i="9"/>
  <c r="J94" i="9"/>
  <c r="P94" i="9" s="1"/>
  <c r="E95" i="9"/>
  <c r="J95" i="9"/>
  <c r="P95" i="9" s="1"/>
  <c r="J96" i="9"/>
  <c r="P96" i="9" s="1"/>
  <c r="E97" i="9"/>
  <c r="J97" i="9"/>
  <c r="K97" i="9"/>
  <c r="E98" i="9"/>
  <c r="J98" i="9"/>
  <c r="K98" i="9"/>
  <c r="E99" i="9"/>
  <c r="J99" i="9"/>
  <c r="E100" i="9"/>
  <c r="J100" i="9"/>
  <c r="P100" i="9"/>
  <c r="E101" i="9"/>
  <c r="J101" i="9"/>
  <c r="K101" i="9"/>
  <c r="P101" i="9"/>
  <c r="E102" i="9"/>
  <c r="J102" i="9"/>
  <c r="P102" i="9" s="1"/>
  <c r="E103" i="9"/>
  <c r="O103" i="9"/>
  <c r="E104" i="9"/>
  <c r="P104" i="9" s="1"/>
  <c r="E105" i="9"/>
  <c r="J105" i="9"/>
  <c r="P105" i="9"/>
  <c r="E106" i="9"/>
  <c r="J106" i="9"/>
  <c r="P106" i="9" s="1"/>
  <c r="J107" i="9"/>
  <c r="P107" i="9" s="1"/>
  <c r="F109" i="9"/>
  <c r="F108" i="9" s="1"/>
  <c r="G109" i="9"/>
  <c r="G108" i="9" s="1"/>
  <c r="H109" i="9"/>
  <c r="H108" i="9" s="1"/>
  <c r="I109" i="9"/>
  <c r="I108" i="9" s="1"/>
  <c r="L109" i="9"/>
  <c r="L108" i="9" s="1"/>
  <c r="M109" i="9"/>
  <c r="M108" i="9" s="1"/>
  <c r="N109" i="9"/>
  <c r="N108" i="9" s="1"/>
  <c r="O109" i="9"/>
  <c r="O108" i="9" s="1"/>
  <c r="E110" i="9"/>
  <c r="J110" i="9"/>
  <c r="J111" i="9"/>
  <c r="P111" i="9" s="1"/>
  <c r="P112" i="9"/>
  <c r="H28" i="13"/>
  <c r="I30" i="13"/>
  <c r="I28" i="13" s="1"/>
  <c r="J30" i="13"/>
  <c r="J28" i="13" s="1"/>
  <c r="K52" i="13"/>
  <c r="I50" i="13"/>
  <c r="J50" i="13"/>
  <c r="I45" i="13"/>
  <c r="J45" i="13"/>
  <c r="I64" i="13"/>
  <c r="J64" i="13"/>
  <c r="J54" i="13"/>
  <c r="J56" i="13"/>
  <c r="I56" i="13"/>
  <c r="H31" i="13"/>
  <c r="J34" i="13"/>
  <c r="I34" i="13"/>
  <c r="K120" i="9"/>
  <c r="K116" i="9"/>
  <c r="P97" i="9" l="1"/>
  <c r="P110" i="9"/>
  <c r="P98" i="9"/>
  <c r="P87" i="9"/>
  <c r="P86" i="9"/>
  <c r="P79" i="9"/>
  <c r="P68" i="9"/>
  <c r="P61" i="9"/>
  <c r="P52" i="9"/>
  <c r="P45" i="9"/>
  <c r="P44" i="9"/>
  <c r="P35" i="9"/>
  <c r="P32" i="9"/>
  <c r="P99" i="9"/>
  <c r="P88" i="9"/>
  <c r="P81" i="9"/>
  <c r="P75" i="9"/>
  <c r="P66" i="9"/>
  <c r="P62" i="9"/>
  <c r="P59" i="9"/>
  <c r="P50" i="9"/>
  <c r="P46" i="9"/>
  <c r="P42" i="9"/>
  <c r="P37" i="9"/>
  <c r="P30" i="9"/>
  <c r="P26" i="9"/>
  <c r="E108" i="9"/>
  <c r="O84" i="9"/>
  <c r="O83" i="9" s="1"/>
  <c r="J103" i="9"/>
  <c r="P103" i="9" s="1"/>
  <c r="K84" i="9"/>
  <c r="K83" i="9" s="1"/>
  <c r="I84" i="9"/>
  <c r="I83" i="9" s="1"/>
  <c r="E92" i="9"/>
  <c r="P92" i="9" s="1"/>
  <c r="H84" i="9"/>
  <c r="H83" i="9" s="1"/>
  <c r="F85" i="9"/>
  <c r="L83" i="9"/>
  <c r="J84" i="9"/>
  <c r="F71" i="9"/>
  <c r="E72" i="9"/>
  <c r="P72" i="9" s="1"/>
  <c r="L70" i="9"/>
  <c r="J71" i="9"/>
  <c r="J70" i="9" s="1"/>
  <c r="L33" i="9"/>
  <c r="J34" i="9"/>
  <c r="J33" i="9" s="1"/>
  <c r="E53" i="9"/>
  <c r="P53" i="9" s="1"/>
  <c r="H34" i="9"/>
  <c r="H33" i="9" s="1"/>
  <c r="F34" i="9"/>
  <c r="E36" i="9"/>
  <c r="P36" i="9" s="1"/>
  <c r="O13" i="9"/>
  <c r="O12" i="9" s="1"/>
  <c r="J21" i="9"/>
  <c r="P21" i="9" s="1"/>
  <c r="J13" i="9"/>
  <c r="J12" i="9" s="1"/>
  <c r="E13" i="9"/>
  <c r="E12" i="9" s="1"/>
  <c r="J84" i="13"/>
  <c r="I84" i="13"/>
  <c r="K84" i="13" s="1"/>
  <c r="J83" i="13"/>
  <c r="I83" i="13"/>
  <c r="K83" i="13" s="1"/>
  <c r="J82" i="13"/>
  <c r="I82" i="13"/>
  <c r="K82" i="13" s="1"/>
  <c r="J81" i="13"/>
  <c r="I81" i="13"/>
  <c r="K81" i="13" s="1"/>
  <c r="J80" i="13"/>
  <c r="I80" i="13"/>
  <c r="K80" i="13" s="1"/>
  <c r="J79" i="13"/>
  <c r="I79" i="13"/>
  <c r="K79" i="13" s="1"/>
  <c r="J77" i="13"/>
  <c r="I77" i="13"/>
  <c r="K77" i="13" s="1"/>
  <c r="K76" i="13"/>
  <c r="J75" i="13"/>
  <c r="I75" i="13"/>
  <c r="H75" i="13"/>
  <c r="J74" i="13"/>
  <c r="I74" i="13"/>
  <c r="H74" i="13"/>
  <c r="J73" i="13"/>
  <c r="I73" i="13"/>
  <c r="H73" i="13"/>
  <c r="J70" i="13"/>
  <c r="H70" i="13"/>
  <c r="H64" i="13"/>
  <c r="J63" i="13"/>
  <c r="I63" i="13"/>
  <c r="H63" i="13"/>
  <c r="J62" i="13"/>
  <c r="I62" i="13"/>
  <c r="K62" i="13" s="1"/>
  <c r="J61" i="13"/>
  <c r="I61" i="13"/>
  <c r="K61" i="13" s="1"/>
  <c r="J60" i="13"/>
  <c r="I60" i="13"/>
  <c r="K60" i="13" s="1"/>
  <c r="J59" i="13"/>
  <c r="I59" i="13"/>
  <c r="K59" i="13" s="1"/>
  <c r="J58" i="13"/>
  <c r="I58" i="13"/>
  <c r="K58" i="13" s="1"/>
  <c r="J57" i="13"/>
  <c r="I57" i="13"/>
  <c r="K57" i="13" s="1"/>
  <c r="K56" i="13"/>
  <c r="J55" i="13"/>
  <c r="I55" i="13"/>
  <c r="K55" i="13" s="1"/>
  <c r="K54" i="13"/>
  <c r="J53" i="13"/>
  <c r="I53" i="13"/>
  <c r="K53" i="13" s="1"/>
  <c r="K50" i="13"/>
  <c r="K48" i="13"/>
  <c r="J47" i="13"/>
  <c r="J46" i="13"/>
  <c r="J44" i="13" s="1"/>
  <c r="I46" i="13"/>
  <c r="H45" i="13"/>
  <c r="J41" i="13"/>
  <c r="I41" i="13"/>
  <c r="H41" i="13"/>
  <c r="J35" i="13"/>
  <c r="I35" i="13"/>
  <c r="K34" i="13"/>
  <c r="J33" i="13"/>
  <c r="J32" i="13"/>
  <c r="J31" i="13" s="1"/>
  <c r="I32" i="13"/>
  <c r="K30" i="13"/>
  <c r="J27" i="13"/>
  <c r="J26" i="13"/>
  <c r="K25" i="13"/>
  <c r="J24" i="13"/>
  <c r="I24" i="13"/>
  <c r="H24" i="13"/>
  <c r="J22" i="13"/>
  <c r="I22" i="13"/>
  <c r="H22" i="13"/>
  <c r="J21" i="13"/>
  <c r="I21" i="13"/>
  <c r="H21" i="13"/>
  <c r="K20" i="13"/>
  <c r="K19" i="13"/>
  <c r="K18" i="13"/>
  <c r="J17" i="13"/>
  <c r="I17" i="13"/>
  <c r="H17" i="13"/>
  <c r="J16" i="13"/>
  <c r="I16" i="13"/>
  <c r="H16" i="13"/>
  <c r="J15" i="13"/>
  <c r="I15" i="13"/>
  <c r="H15" i="13"/>
  <c r="K83" i="12"/>
  <c r="K82" i="12"/>
  <c r="K81" i="12"/>
  <c r="K80" i="12"/>
  <c r="K79" i="12"/>
  <c r="K78" i="12"/>
  <c r="K76" i="12"/>
  <c r="K75" i="12"/>
  <c r="J74" i="12"/>
  <c r="I74" i="12"/>
  <c r="H74" i="12"/>
  <c r="J72" i="12"/>
  <c r="I72" i="12"/>
  <c r="H72" i="12"/>
  <c r="J69" i="12"/>
  <c r="I69" i="12"/>
  <c r="H69" i="12"/>
  <c r="K62" i="12"/>
  <c r="K61" i="12"/>
  <c r="K60" i="12"/>
  <c r="K59" i="12"/>
  <c r="K58" i="12"/>
  <c r="K57" i="12"/>
  <c r="K56" i="12"/>
  <c r="K54" i="12"/>
  <c r="K52" i="12"/>
  <c r="K47" i="12"/>
  <c r="J43" i="12"/>
  <c r="I43" i="12"/>
  <c r="H43" i="12"/>
  <c r="J41" i="12"/>
  <c r="I41" i="12"/>
  <c r="H41" i="12"/>
  <c r="N31" i="12"/>
  <c r="J30" i="12"/>
  <c r="I30" i="12"/>
  <c r="H30" i="12"/>
  <c r="K29" i="12"/>
  <c r="J28" i="12"/>
  <c r="I28" i="12"/>
  <c r="H28" i="12"/>
  <c r="J27" i="12"/>
  <c r="I27" i="12"/>
  <c r="H27" i="12"/>
  <c r="J26" i="12"/>
  <c r="I26" i="12"/>
  <c r="H26" i="12"/>
  <c r="K25" i="12"/>
  <c r="J24" i="12"/>
  <c r="I24" i="12"/>
  <c r="H24" i="12"/>
  <c r="M22" i="12"/>
  <c r="J21" i="12"/>
  <c r="I21" i="12"/>
  <c r="H21" i="12"/>
  <c r="K20" i="12"/>
  <c r="K19" i="12"/>
  <c r="K18" i="12"/>
  <c r="J17" i="12"/>
  <c r="I17" i="12"/>
  <c r="H17" i="12"/>
  <c r="J16" i="12"/>
  <c r="I16" i="12"/>
  <c r="H16" i="12"/>
  <c r="J15" i="12"/>
  <c r="I15" i="12"/>
  <c r="H15" i="12"/>
  <c r="I94" i="7"/>
  <c r="I104" i="7"/>
  <c r="J16" i="7"/>
  <c r="I91" i="7"/>
  <c r="I88" i="7"/>
  <c r="I84" i="7" s="1"/>
  <c r="I77" i="7"/>
  <c r="K16" i="7" l="1"/>
  <c r="P13" i="9"/>
  <c r="P12" i="9"/>
  <c r="J83" i="9"/>
  <c r="F33" i="9"/>
  <c r="E33" i="9" s="1"/>
  <c r="P33" i="9" s="1"/>
  <c r="E34" i="9"/>
  <c r="P34" i="9" s="1"/>
  <c r="F70" i="9"/>
  <c r="E70" i="9" s="1"/>
  <c r="P70" i="9" s="1"/>
  <c r="E71" i="9"/>
  <c r="P71" i="9" s="1"/>
  <c r="F84" i="9"/>
  <c r="E85" i="9"/>
  <c r="P85" i="9" s="1"/>
  <c r="K32" i="13"/>
  <c r="I31" i="13"/>
  <c r="K45" i="13"/>
  <c r="H44" i="13"/>
  <c r="H27" i="13" s="1"/>
  <c r="H26" i="13" s="1"/>
  <c r="K46" i="13"/>
  <c r="I44" i="13"/>
  <c r="K22" i="13"/>
  <c r="H85" i="13"/>
  <c r="H96" i="13" s="1"/>
  <c r="H98" i="13" s="1"/>
  <c r="J85" i="13"/>
  <c r="J96" i="13" s="1"/>
  <c r="K63" i="13"/>
  <c r="K64" i="13"/>
  <c r="K74" i="13"/>
  <c r="H84" i="12"/>
  <c r="I84" i="12"/>
  <c r="J84" i="12"/>
  <c r="F100" i="4"/>
  <c r="I58" i="7"/>
  <c r="F34" i="4"/>
  <c r="F83" i="9" l="1"/>
  <c r="E84" i="9"/>
  <c r="I27" i="13"/>
  <c r="I26" i="13" s="1"/>
  <c r="I85" i="13" s="1"/>
  <c r="I96" i="13" s="1"/>
  <c r="I98" i="13" s="1"/>
  <c r="F39" i="4"/>
  <c r="F38" i="4"/>
  <c r="R20" i="8"/>
  <c r="R21" i="8"/>
  <c r="R22" i="8"/>
  <c r="R23" i="8"/>
  <c r="R24" i="8"/>
  <c r="R26" i="8"/>
  <c r="R27" i="8"/>
  <c r="R28" i="8"/>
  <c r="R29" i="8"/>
  <c r="R30" i="8"/>
  <c r="R31" i="8"/>
  <c r="R32" i="8"/>
  <c r="R39" i="8"/>
  <c r="R40" i="8"/>
  <c r="R41" i="8"/>
  <c r="R42" i="8"/>
  <c r="R43" i="8"/>
  <c r="R44" i="8"/>
  <c r="R45" i="8"/>
  <c r="R46" i="8"/>
  <c r="R47" i="8"/>
  <c r="R48" i="8"/>
  <c r="R49" i="8"/>
  <c r="R50" i="8"/>
  <c r="R51" i="8"/>
  <c r="R52" i="8"/>
  <c r="R53" i="8"/>
  <c r="R54" i="8"/>
  <c r="R55" i="8"/>
  <c r="R56" i="8"/>
  <c r="R58" i="8"/>
  <c r="R61" i="8"/>
  <c r="R62" i="8"/>
  <c r="R63" i="8"/>
  <c r="R64" i="8"/>
  <c r="R65" i="8"/>
  <c r="R66" i="8"/>
  <c r="R67" i="8"/>
  <c r="R68" i="8"/>
  <c r="R69" i="8"/>
  <c r="R75" i="8"/>
  <c r="R81" i="8"/>
  <c r="R82" i="8"/>
  <c r="R83" i="8"/>
  <c r="R84" i="8"/>
  <c r="R86" i="8"/>
  <c r="R87" i="8"/>
  <c r="R88" i="8"/>
  <c r="R89" i="8"/>
  <c r="R90" i="8"/>
  <c r="R94" i="8"/>
  <c r="R95" i="8"/>
  <c r="R96" i="8"/>
  <c r="R97" i="8"/>
  <c r="R98" i="8"/>
  <c r="R99" i="8"/>
  <c r="R100" i="8"/>
  <c r="R101" i="8"/>
  <c r="R102" i="8"/>
  <c r="R103" i="8"/>
  <c r="R104" i="8"/>
  <c r="R105" i="8"/>
  <c r="R106" i="8"/>
  <c r="R110" i="8"/>
  <c r="R111" i="8"/>
  <c r="R112" i="8"/>
  <c r="R113" i="8"/>
  <c r="R9" i="8"/>
  <c r="R10" i="8"/>
  <c r="R11" i="8"/>
  <c r="R12" i="8"/>
  <c r="R13" i="8"/>
  <c r="Q125" i="8"/>
  <c r="R85" i="8"/>
  <c r="R80" i="8"/>
  <c r="R78" i="8"/>
  <c r="R74" i="8"/>
  <c r="R70" i="8"/>
  <c r="R19" i="8"/>
  <c r="R18" i="8"/>
  <c r="R17" i="8"/>
  <c r="R93" i="8"/>
  <c r="R79" i="8"/>
  <c r="R77" i="8"/>
  <c r="R76" i="8"/>
  <c r="R73" i="8"/>
  <c r="R57" i="8"/>
  <c r="R37" i="8"/>
  <c r="R36" i="8"/>
  <c r="R16" i="8"/>
  <c r="R33" i="8"/>
  <c r="G19" i="11"/>
  <c r="F19" i="11"/>
  <c r="J19" i="11" s="1"/>
  <c r="E19" i="11"/>
  <c r="F111" i="4"/>
  <c r="F128" i="4"/>
  <c r="F87" i="4"/>
  <c r="O104" i="4"/>
  <c r="I90" i="4"/>
  <c r="E130" i="9"/>
  <c r="H17" i="7"/>
  <c r="E25" i="4"/>
  <c r="J25" i="4"/>
  <c r="P25" i="4" s="1"/>
  <c r="I59" i="7"/>
  <c r="J59" i="7"/>
  <c r="K59" i="7"/>
  <c r="J112" i="10"/>
  <c r="E112" i="10"/>
  <c r="P112" i="10" s="1"/>
  <c r="S36" i="11"/>
  <c r="G31" i="11"/>
  <c r="F31" i="11"/>
  <c r="G30" i="11"/>
  <c r="F30" i="11"/>
  <c r="E30" i="11"/>
  <c r="D30" i="11"/>
  <c r="G27" i="11"/>
  <c r="G26" i="11"/>
  <c r="E26" i="11"/>
  <c r="G25" i="11"/>
  <c r="E25" i="11"/>
  <c r="G24" i="11"/>
  <c r="G23" i="11"/>
  <c r="E23" i="11"/>
  <c r="G22" i="11"/>
  <c r="E22" i="11"/>
  <c r="G21" i="11"/>
  <c r="E21" i="11"/>
  <c r="K19" i="11"/>
  <c r="D19" i="11"/>
  <c r="D18" i="11"/>
  <c r="F16" i="11"/>
  <c r="F27" i="11" s="1"/>
  <c r="D16" i="11"/>
  <c r="F15" i="11"/>
  <c r="F24" i="11" s="1"/>
  <c r="D15" i="11"/>
  <c r="G14" i="11"/>
  <c r="F14" i="11"/>
  <c r="D14" i="11"/>
  <c r="G13" i="11"/>
  <c r="F13" i="11"/>
  <c r="E13" i="11"/>
  <c r="D13" i="11"/>
  <c r="C11" i="11"/>
  <c r="D11" i="11" s="1"/>
  <c r="E11" i="11" s="1"/>
  <c r="F11" i="11" s="1"/>
  <c r="G11" i="11" s="1"/>
  <c r="S152" i="10"/>
  <c r="S148" i="10"/>
  <c r="J146" i="10"/>
  <c r="P146" i="10" s="1"/>
  <c r="S145" i="10"/>
  <c r="R145" i="10"/>
  <c r="J145" i="10"/>
  <c r="E145" i="10"/>
  <c r="P145" i="10" s="1"/>
  <c r="S144" i="10"/>
  <c r="R144" i="10"/>
  <c r="J144" i="10"/>
  <c r="E144" i="10"/>
  <c r="P144" i="10" s="1"/>
  <c r="S143" i="10"/>
  <c r="R143" i="10"/>
  <c r="E143" i="10"/>
  <c r="P143" i="10" s="1"/>
  <c r="S142" i="10"/>
  <c r="R142" i="10"/>
  <c r="J142" i="10"/>
  <c r="E142" i="10"/>
  <c r="P142" i="10" s="1"/>
  <c r="S141" i="10"/>
  <c r="R141" i="10"/>
  <c r="J141" i="10"/>
  <c r="E141" i="10"/>
  <c r="P141" i="10" s="1"/>
  <c r="S140" i="10"/>
  <c r="R140" i="10"/>
  <c r="J140" i="10"/>
  <c r="E140" i="10"/>
  <c r="P140" i="10" s="1"/>
  <c r="P139" i="10"/>
  <c r="O139" i="10"/>
  <c r="N139" i="10"/>
  <c r="M139" i="10"/>
  <c r="L139" i="10"/>
  <c r="K139" i="10"/>
  <c r="R139" i="10" s="1"/>
  <c r="J139" i="10"/>
  <c r="I139" i="10"/>
  <c r="H139" i="10"/>
  <c r="G139" i="10"/>
  <c r="F139" i="10"/>
  <c r="E139" i="10"/>
  <c r="S138" i="10"/>
  <c r="O138" i="10"/>
  <c r="N138" i="10"/>
  <c r="M138" i="10"/>
  <c r="L138" i="10"/>
  <c r="K138" i="10"/>
  <c r="R138" i="10" s="1"/>
  <c r="J138" i="10"/>
  <c r="I138" i="10"/>
  <c r="H138" i="10"/>
  <c r="G138" i="10"/>
  <c r="F138" i="10"/>
  <c r="E138" i="10"/>
  <c r="P138" i="10" s="1"/>
  <c r="S137" i="10"/>
  <c r="R137" i="10"/>
  <c r="J137" i="10"/>
  <c r="E137" i="10"/>
  <c r="P137" i="10" s="1"/>
  <c r="S136" i="10"/>
  <c r="R136" i="10"/>
  <c r="N136" i="10"/>
  <c r="M136" i="10"/>
  <c r="I136" i="10"/>
  <c r="H136" i="10"/>
  <c r="G136" i="10"/>
  <c r="F136" i="10"/>
  <c r="E136" i="10"/>
  <c r="P136" i="10" s="1"/>
  <c r="O135" i="10"/>
  <c r="N135" i="10"/>
  <c r="M135" i="10"/>
  <c r="J135" i="10"/>
  <c r="I135" i="10"/>
  <c r="H135" i="10"/>
  <c r="G135" i="10"/>
  <c r="F135" i="10"/>
  <c r="E135" i="10"/>
  <c r="P135" i="10" s="1"/>
  <c r="J134" i="10"/>
  <c r="E134" i="10"/>
  <c r="P134" i="10" s="1"/>
  <c r="J133" i="10"/>
  <c r="E133" i="10"/>
  <c r="P133" i="10" s="1"/>
  <c r="J132" i="10"/>
  <c r="E132" i="10"/>
  <c r="P132" i="10" s="1"/>
  <c r="J131" i="10"/>
  <c r="E131" i="10"/>
  <c r="P131" i="10" s="1"/>
  <c r="S130" i="10"/>
  <c r="R130" i="10"/>
  <c r="J130" i="10"/>
  <c r="E130" i="10"/>
  <c r="P130" i="10" s="1"/>
  <c r="S129" i="10"/>
  <c r="R129" i="10"/>
  <c r="J129" i="10"/>
  <c r="E129" i="10"/>
  <c r="P129" i="10" s="1"/>
  <c r="S128" i="10"/>
  <c r="R128" i="10"/>
  <c r="J128" i="10"/>
  <c r="E128" i="10"/>
  <c r="P128" i="10" s="1"/>
  <c r="K127" i="10"/>
  <c r="J127" i="10"/>
  <c r="E127" i="10"/>
  <c r="P127" i="10" s="1"/>
  <c r="J126" i="10"/>
  <c r="P126" i="10" s="1"/>
  <c r="R125" i="10"/>
  <c r="J125" i="10"/>
  <c r="E125" i="10"/>
  <c r="P125" i="10" s="1"/>
  <c r="O124" i="10"/>
  <c r="J124" i="10"/>
  <c r="E124" i="10"/>
  <c r="P124" i="10" s="1"/>
  <c r="J123" i="10"/>
  <c r="E123" i="10"/>
  <c r="P123" i="10" s="1"/>
  <c r="P122" i="10"/>
  <c r="J121" i="10"/>
  <c r="P121" i="10" s="1"/>
  <c r="S120" i="10"/>
  <c r="R120" i="10"/>
  <c r="J120" i="10"/>
  <c r="E120" i="10"/>
  <c r="P120" i="10" s="1"/>
  <c r="O119" i="10"/>
  <c r="N119" i="10"/>
  <c r="M119" i="10"/>
  <c r="L119" i="10"/>
  <c r="K119" i="10"/>
  <c r="R119" i="10" s="1"/>
  <c r="J119" i="10"/>
  <c r="I119" i="10"/>
  <c r="H119" i="10"/>
  <c r="G119" i="10"/>
  <c r="F119" i="10"/>
  <c r="E119" i="10"/>
  <c r="P119" i="10" s="1"/>
  <c r="O118" i="10"/>
  <c r="N118" i="10"/>
  <c r="M118" i="10"/>
  <c r="L118" i="10"/>
  <c r="K118" i="10"/>
  <c r="J118" i="10"/>
  <c r="I118" i="10"/>
  <c r="H118" i="10"/>
  <c r="G118" i="10"/>
  <c r="F118" i="10"/>
  <c r="E118" i="10"/>
  <c r="P118" i="10" s="1"/>
  <c r="R118" i="10" s="1"/>
  <c r="S117" i="10"/>
  <c r="R117" i="10"/>
  <c r="J117" i="10"/>
  <c r="P117" i="10" s="1"/>
  <c r="S116" i="10"/>
  <c r="R116" i="10"/>
  <c r="J116" i="10"/>
  <c r="E116" i="10"/>
  <c r="P116" i="10" s="1"/>
  <c r="S115" i="10"/>
  <c r="R115" i="10"/>
  <c r="J115" i="10"/>
  <c r="E115" i="10"/>
  <c r="P115" i="10" s="1"/>
  <c r="E114" i="10"/>
  <c r="P114" i="10" s="1"/>
  <c r="S113" i="10"/>
  <c r="R113" i="10"/>
  <c r="J113" i="10"/>
  <c r="E113" i="10"/>
  <c r="P113" i="10" s="1"/>
  <c r="S111" i="10"/>
  <c r="R111" i="10"/>
  <c r="J111" i="10"/>
  <c r="E111" i="10"/>
  <c r="P111" i="10" s="1"/>
  <c r="S110" i="10"/>
  <c r="R110" i="10"/>
  <c r="J110" i="10"/>
  <c r="E110" i="10"/>
  <c r="P110" i="10" s="1"/>
  <c r="S109" i="10"/>
  <c r="R109" i="10"/>
  <c r="J109" i="10"/>
  <c r="E109" i="10"/>
  <c r="P109" i="10" s="1"/>
  <c r="S108" i="10"/>
  <c r="R108" i="10"/>
  <c r="J108" i="10"/>
  <c r="E108" i="10"/>
  <c r="P108" i="10" s="1"/>
  <c r="S107" i="10"/>
  <c r="R107" i="10"/>
  <c r="J107" i="10"/>
  <c r="P107" i="10" s="1"/>
  <c r="S106" i="10"/>
  <c r="R106" i="10"/>
  <c r="J106" i="10"/>
  <c r="E106" i="10"/>
  <c r="P106" i="10" s="1"/>
  <c r="S105" i="10"/>
  <c r="R105" i="10"/>
  <c r="J105" i="10"/>
  <c r="E105" i="10"/>
  <c r="P105" i="10" s="1"/>
  <c r="S104" i="10"/>
  <c r="R104" i="10"/>
  <c r="J104" i="10"/>
  <c r="E104" i="10"/>
  <c r="P104" i="10" s="1"/>
  <c r="S103" i="10"/>
  <c r="R103" i="10"/>
  <c r="J103" i="10"/>
  <c r="E103" i="10"/>
  <c r="P103" i="10" s="1"/>
  <c r="S102" i="10"/>
  <c r="R102" i="10"/>
  <c r="J102" i="10"/>
  <c r="E102" i="10"/>
  <c r="P102" i="10" s="1"/>
  <c r="J101" i="10"/>
  <c r="E101" i="10"/>
  <c r="P101" i="10" s="1"/>
  <c r="J100" i="10"/>
  <c r="E100" i="10"/>
  <c r="P100" i="10" s="1"/>
  <c r="S99" i="10"/>
  <c r="R99" i="10"/>
  <c r="J99" i="10"/>
  <c r="E99" i="10"/>
  <c r="P99" i="10" s="1"/>
  <c r="S98" i="10"/>
  <c r="R98" i="10"/>
  <c r="J98" i="10"/>
  <c r="E98" i="10"/>
  <c r="P98" i="10" s="1"/>
  <c r="S97" i="10"/>
  <c r="R97" i="10"/>
  <c r="J97" i="10"/>
  <c r="E97" i="10"/>
  <c r="P97" i="10" s="1"/>
  <c r="S96" i="10"/>
  <c r="R96" i="10"/>
  <c r="J96" i="10"/>
  <c r="E96" i="10"/>
  <c r="P96" i="10" s="1"/>
  <c r="O95" i="10"/>
  <c r="N95" i="10"/>
  <c r="M95" i="10"/>
  <c r="L95" i="10"/>
  <c r="K95" i="10"/>
  <c r="R95" i="10" s="1"/>
  <c r="J95" i="10"/>
  <c r="I95" i="10"/>
  <c r="H95" i="10"/>
  <c r="G95" i="10"/>
  <c r="F95" i="10"/>
  <c r="E95" i="10"/>
  <c r="P95" i="10" s="1"/>
  <c r="O94" i="10"/>
  <c r="N94" i="10"/>
  <c r="M94" i="10"/>
  <c r="L94" i="10"/>
  <c r="K94" i="10"/>
  <c r="J94" i="10"/>
  <c r="I94" i="10"/>
  <c r="H94" i="10"/>
  <c r="G94" i="10"/>
  <c r="F94" i="10"/>
  <c r="E94" i="10"/>
  <c r="P94" i="10" s="1"/>
  <c r="R94" i="10" s="1"/>
  <c r="S93" i="10"/>
  <c r="R93" i="10"/>
  <c r="J93" i="10"/>
  <c r="E93" i="10"/>
  <c r="P93" i="10" s="1"/>
  <c r="S92" i="10"/>
  <c r="R92" i="10"/>
  <c r="J92" i="10"/>
  <c r="E92" i="10"/>
  <c r="P92" i="10" s="1"/>
  <c r="S91" i="10"/>
  <c r="R91" i="10"/>
  <c r="J91" i="10"/>
  <c r="E91" i="10"/>
  <c r="P91" i="10" s="1"/>
  <c r="S90" i="10"/>
  <c r="R90" i="10"/>
  <c r="J90" i="10"/>
  <c r="E90" i="10"/>
  <c r="P90" i="10" s="1"/>
  <c r="S89" i="10"/>
  <c r="R89" i="10"/>
  <c r="J89" i="10"/>
  <c r="E89" i="10"/>
  <c r="P89" i="10" s="1"/>
  <c r="S88" i="10"/>
  <c r="R88" i="10"/>
  <c r="J88" i="10"/>
  <c r="E88" i="10"/>
  <c r="P88" i="10" s="1"/>
  <c r="S87" i="10"/>
  <c r="R87" i="10"/>
  <c r="J87" i="10"/>
  <c r="E87" i="10"/>
  <c r="P87" i="10" s="1"/>
  <c r="S86" i="10"/>
  <c r="R86" i="10"/>
  <c r="J86" i="10"/>
  <c r="E86" i="10"/>
  <c r="P86" i="10" s="1"/>
  <c r="O85" i="10"/>
  <c r="N85" i="10"/>
  <c r="M85" i="10"/>
  <c r="L85" i="10"/>
  <c r="K85" i="10"/>
  <c r="R85" i="10" s="1"/>
  <c r="J85" i="10"/>
  <c r="I85" i="10"/>
  <c r="H85" i="10"/>
  <c r="G85" i="10"/>
  <c r="F85" i="10"/>
  <c r="E85" i="10"/>
  <c r="P85" i="10" s="1"/>
  <c r="O84" i="10"/>
  <c r="N84" i="10"/>
  <c r="M84" i="10"/>
  <c r="L84" i="10"/>
  <c r="K84" i="10"/>
  <c r="R84" i="10" s="1"/>
  <c r="J84" i="10"/>
  <c r="I84" i="10"/>
  <c r="H84" i="10"/>
  <c r="G84" i="10"/>
  <c r="F84" i="10"/>
  <c r="E84" i="10"/>
  <c r="P84" i="10" s="1"/>
  <c r="S83" i="10"/>
  <c r="R83" i="10"/>
  <c r="J83" i="10"/>
  <c r="E83" i="10"/>
  <c r="P83" i="10" s="1"/>
  <c r="S82" i="10"/>
  <c r="R82" i="10"/>
  <c r="J82" i="10"/>
  <c r="E82" i="10"/>
  <c r="P82" i="10" s="1"/>
  <c r="E81" i="10"/>
  <c r="P81" i="10" s="1"/>
  <c r="S80" i="10"/>
  <c r="R80" i="10"/>
  <c r="J80" i="10"/>
  <c r="E80" i="10"/>
  <c r="P80" i="10" s="1"/>
  <c r="S79" i="10"/>
  <c r="R79" i="10"/>
  <c r="E79" i="10"/>
  <c r="P79" i="10" s="1"/>
  <c r="S78" i="10"/>
  <c r="R78" i="10"/>
  <c r="E78" i="10"/>
  <c r="P78" i="10" s="1"/>
  <c r="S77" i="10"/>
  <c r="R77" i="10"/>
  <c r="E77" i="10"/>
  <c r="P77" i="10" s="1"/>
  <c r="S76" i="10"/>
  <c r="R76" i="10"/>
  <c r="J76" i="10"/>
  <c r="E76" i="10"/>
  <c r="P76" i="10" s="1"/>
  <c r="S75" i="10"/>
  <c r="R75" i="10"/>
  <c r="E75" i="10"/>
  <c r="P75" i="10" s="1"/>
  <c r="E74" i="10"/>
  <c r="P74" i="10" s="1"/>
  <c r="S73" i="10"/>
  <c r="R73" i="10"/>
  <c r="J73" i="10"/>
  <c r="E73" i="10"/>
  <c r="P73" i="10" s="1"/>
  <c r="O72" i="10"/>
  <c r="N72" i="10"/>
  <c r="M72" i="10"/>
  <c r="L72" i="10"/>
  <c r="K72" i="10"/>
  <c r="R72" i="10" s="1"/>
  <c r="J72" i="10"/>
  <c r="I72" i="10"/>
  <c r="H72" i="10"/>
  <c r="G72" i="10"/>
  <c r="F72" i="10"/>
  <c r="E72" i="10"/>
  <c r="P72" i="10" s="1"/>
  <c r="O71" i="10"/>
  <c r="N71" i="10"/>
  <c r="M71" i="10"/>
  <c r="L71" i="10"/>
  <c r="K71" i="10"/>
  <c r="R71" i="10" s="1"/>
  <c r="J71" i="10"/>
  <c r="I71" i="10"/>
  <c r="H71" i="10"/>
  <c r="G71" i="10"/>
  <c r="F71" i="10"/>
  <c r="E71" i="10"/>
  <c r="P71" i="10" s="1"/>
  <c r="S70" i="10"/>
  <c r="R70" i="10"/>
  <c r="E70" i="10"/>
  <c r="P70" i="10" s="1"/>
  <c r="S69" i="10"/>
  <c r="R69" i="10"/>
  <c r="J69" i="10"/>
  <c r="E69" i="10"/>
  <c r="P69" i="10" s="1"/>
  <c r="S68" i="10"/>
  <c r="R68" i="10"/>
  <c r="E68" i="10"/>
  <c r="P68" i="10" s="1"/>
  <c r="S67" i="10"/>
  <c r="R67" i="10"/>
  <c r="J67" i="10"/>
  <c r="E67" i="10"/>
  <c r="P67" i="10" s="1"/>
  <c r="S66" i="10"/>
  <c r="R66" i="10"/>
  <c r="J66" i="10"/>
  <c r="E66" i="10"/>
  <c r="P66" i="10" s="1"/>
  <c r="S65" i="10"/>
  <c r="R65" i="10"/>
  <c r="J65" i="10"/>
  <c r="E65" i="10"/>
  <c r="P65" i="10" s="1"/>
  <c r="S64" i="10"/>
  <c r="R64" i="10"/>
  <c r="J64" i="10"/>
  <c r="E64" i="10"/>
  <c r="P64" i="10" s="1"/>
  <c r="S63" i="10"/>
  <c r="R63" i="10"/>
  <c r="J63" i="10"/>
  <c r="E63" i="10"/>
  <c r="P63" i="10" s="1"/>
  <c r="S62" i="10"/>
  <c r="R62" i="10"/>
  <c r="J62" i="10"/>
  <c r="E62" i="10"/>
  <c r="P62" i="10" s="1"/>
  <c r="S61" i="10"/>
  <c r="R61" i="10"/>
  <c r="E61" i="10"/>
  <c r="P61" i="10" s="1"/>
  <c r="R60" i="10"/>
  <c r="J60" i="10"/>
  <c r="E60" i="10"/>
  <c r="P60" i="10" s="1"/>
  <c r="E59" i="10"/>
  <c r="P59" i="10" s="1"/>
  <c r="O58" i="10"/>
  <c r="N58" i="10"/>
  <c r="M58" i="10"/>
  <c r="L58" i="10"/>
  <c r="K58" i="10"/>
  <c r="J58" i="10"/>
  <c r="I58" i="10"/>
  <c r="H58" i="10"/>
  <c r="G58" i="10"/>
  <c r="F58" i="10"/>
  <c r="E58" i="10"/>
  <c r="P58" i="10" s="1"/>
  <c r="E57" i="10"/>
  <c r="P57" i="10" s="1"/>
  <c r="E56" i="10"/>
  <c r="P56" i="10" s="1"/>
  <c r="E55" i="10"/>
  <c r="P55" i="10" s="1"/>
  <c r="E54" i="10"/>
  <c r="P54" i="10" s="1"/>
  <c r="J53" i="10"/>
  <c r="E53" i="10"/>
  <c r="P53" i="10" s="1"/>
  <c r="S52" i="10"/>
  <c r="R52" i="10"/>
  <c r="J52" i="10"/>
  <c r="E52" i="10"/>
  <c r="P52" i="10" s="1"/>
  <c r="R51" i="10"/>
  <c r="J51" i="10"/>
  <c r="E51" i="10"/>
  <c r="P51" i="10" s="1"/>
  <c r="S50" i="10"/>
  <c r="R50" i="10"/>
  <c r="J50" i="10"/>
  <c r="E50" i="10"/>
  <c r="P50" i="10" s="1"/>
  <c r="S49" i="10"/>
  <c r="R49" i="10"/>
  <c r="J49" i="10"/>
  <c r="E49" i="10"/>
  <c r="P49" i="10" s="1"/>
  <c r="S48" i="10"/>
  <c r="R48" i="10"/>
  <c r="J48" i="10"/>
  <c r="E48" i="10"/>
  <c r="P48" i="10" s="1"/>
  <c r="S47" i="10"/>
  <c r="R47" i="10"/>
  <c r="J47" i="10"/>
  <c r="E47" i="10"/>
  <c r="P47" i="10" s="1"/>
  <c r="S46" i="10"/>
  <c r="R46" i="10"/>
  <c r="J46" i="10"/>
  <c r="E46" i="10"/>
  <c r="P46" i="10" s="1"/>
  <c r="J45" i="10"/>
  <c r="E45" i="10"/>
  <c r="P45" i="10" s="1"/>
  <c r="J44" i="10"/>
  <c r="E44" i="10"/>
  <c r="P44" i="10" s="1"/>
  <c r="J43" i="10"/>
  <c r="E43" i="10"/>
  <c r="P43" i="10" s="1"/>
  <c r="J42" i="10"/>
  <c r="E42" i="10"/>
  <c r="P42" i="10" s="1"/>
  <c r="S41" i="10"/>
  <c r="R41" i="10"/>
  <c r="J41" i="10"/>
  <c r="E41" i="10"/>
  <c r="P41" i="10" s="1"/>
  <c r="S40" i="10"/>
  <c r="R40" i="10"/>
  <c r="J40" i="10"/>
  <c r="E40" i="10"/>
  <c r="P40" i="10" s="1"/>
  <c r="R39" i="10"/>
  <c r="E39" i="10"/>
  <c r="P39" i="10" s="1"/>
  <c r="R38" i="10"/>
  <c r="J38" i="10"/>
  <c r="E38" i="10"/>
  <c r="P38" i="10" s="1"/>
  <c r="Q38" i="10" s="1"/>
  <c r="S37" i="10"/>
  <c r="R37" i="10"/>
  <c r="J37" i="10"/>
  <c r="E37" i="10"/>
  <c r="P37" i="10" s="1"/>
  <c r="S36" i="10"/>
  <c r="R36" i="10"/>
  <c r="J36" i="10"/>
  <c r="E36" i="10"/>
  <c r="P36" i="10" s="1"/>
  <c r="O35" i="10"/>
  <c r="N35" i="10"/>
  <c r="M35" i="10"/>
  <c r="L35" i="10"/>
  <c r="K35" i="10"/>
  <c r="R35" i="10" s="1"/>
  <c r="J35" i="10"/>
  <c r="I35" i="10"/>
  <c r="H35" i="10"/>
  <c r="G35" i="10"/>
  <c r="F35" i="10"/>
  <c r="E35" i="10"/>
  <c r="P35" i="10" s="1"/>
  <c r="O34" i="10"/>
  <c r="N34" i="10"/>
  <c r="M34" i="10"/>
  <c r="L34" i="10"/>
  <c r="K34" i="10"/>
  <c r="R34" i="10" s="1"/>
  <c r="J34" i="10"/>
  <c r="I34" i="10"/>
  <c r="H34" i="10"/>
  <c r="G34" i="10"/>
  <c r="F34" i="10"/>
  <c r="E34" i="10"/>
  <c r="P34" i="10" s="1"/>
  <c r="R33" i="10"/>
  <c r="J33" i="10"/>
  <c r="E33" i="10"/>
  <c r="P33" i="10" s="1"/>
  <c r="R32" i="10"/>
  <c r="J32" i="10"/>
  <c r="E32" i="10"/>
  <c r="P32" i="10" s="1"/>
  <c r="J31" i="10"/>
  <c r="E31" i="10"/>
  <c r="P31" i="10" s="1"/>
  <c r="S30" i="10"/>
  <c r="R30" i="10"/>
  <c r="J30" i="10"/>
  <c r="E30" i="10"/>
  <c r="P30" i="10" s="1"/>
  <c r="S29" i="10"/>
  <c r="R29" i="10"/>
  <c r="J29" i="10"/>
  <c r="E29" i="10"/>
  <c r="P29" i="10" s="1"/>
  <c r="S28" i="10"/>
  <c r="R28" i="10"/>
  <c r="J28" i="10"/>
  <c r="E28" i="10"/>
  <c r="P28" i="10" s="1"/>
  <c r="J27" i="10"/>
  <c r="E27" i="10"/>
  <c r="P27" i="10" s="1"/>
  <c r="E26" i="10"/>
  <c r="P26" i="10" s="1"/>
  <c r="J25" i="10"/>
  <c r="S24" i="10"/>
  <c r="R24" i="10"/>
  <c r="J24" i="10"/>
  <c r="E24" i="10"/>
  <c r="P24" i="10" s="1"/>
  <c r="S23" i="10"/>
  <c r="R23" i="10"/>
  <c r="J23" i="10"/>
  <c r="E23" i="10"/>
  <c r="P23" i="10" s="1"/>
  <c r="S22" i="10"/>
  <c r="R22" i="10"/>
  <c r="J22" i="10"/>
  <c r="E22" i="10"/>
  <c r="P22" i="10" s="1"/>
  <c r="S21" i="10"/>
  <c r="R21" i="10"/>
  <c r="J21" i="10"/>
  <c r="E21" i="10"/>
  <c r="P21" i="10" s="1"/>
  <c r="S20" i="10"/>
  <c r="R20" i="10"/>
  <c r="E20" i="10"/>
  <c r="P20" i="10" s="1"/>
  <c r="S19" i="10"/>
  <c r="R19" i="10"/>
  <c r="J19" i="10"/>
  <c r="E19" i="10"/>
  <c r="P19" i="10" s="1"/>
  <c r="S18" i="10"/>
  <c r="R18" i="10"/>
  <c r="J18" i="10"/>
  <c r="E18" i="10"/>
  <c r="P18" i="10" s="1"/>
  <c r="S17" i="10"/>
  <c r="R17" i="10"/>
  <c r="E17" i="10"/>
  <c r="P17" i="10" s="1"/>
  <c r="S16" i="10"/>
  <c r="R16" i="10"/>
  <c r="J16" i="10"/>
  <c r="E16" i="10"/>
  <c r="P16" i="10" s="1"/>
  <c r="S15" i="10"/>
  <c r="R15" i="10"/>
  <c r="J15" i="10"/>
  <c r="E15" i="10"/>
  <c r="P15" i="10" s="1"/>
  <c r="S14" i="10"/>
  <c r="R14" i="10"/>
  <c r="J14" i="10"/>
  <c r="E14" i="10"/>
  <c r="P14" i="10" s="1"/>
  <c r="P13" i="10"/>
  <c r="O13" i="10"/>
  <c r="N13" i="10"/>
  <c r="M13" i="10"/>
  <c r="L13" i="10"/>
  <c r="K13" i="10"/>
  <c r="R13" i="10" s="1"/>
  <c r="J13" i="10"/>
  <c r="I13" i="10"/>
  <c r="H13" i="10"/>
  <c r="G13" i="10"/>
  <c r="F13" i="10"/>
  <c r="E13" i="10"/>
  <c r="O12" i="10"/>
  <c r="N12" i="10"/>
  <c r="N147" i="10" s="1"/>
  <c r="N156" i="10" s="1"/>
  <c r="M12" i="10"/>
  <c r="M147" i="10" s="1"/>
  <c r="M156" i="10" s="1"/>
  <c r="L12" i="10"/>
  <c r="L147" i="10" s="1"/>
  <c r="L156" i="10" s="1"/>
  <c r="K12" i="10"/>
  <c r="J12" i="10"/>
  <c r="J147" i="10" s="1"/>
  <c r="J156" i="10" s="1"/>
  <c r="I12" i="10"/>
  <c r="I147" i="10" s="1"/>
  <c r="I156" i="10" s="1"/>
  <c r="H12" i="10"/>
  <c r="H147" i="10" s="1"/>
  <c r="H156" i="10" s="1"/>
  <c r="G12" i="10"/>
  <c r="G147" i="10" s="1"/>
  <c r="G156" i="10" s="1"/>
  <c r="F12" i="10"/>
  <c r="F147" i="10" s="1"/>
  <c r="F156" i="10" s="1"/>
  <c r="E12" i="10"/>
  <c r="M11" i="10"/>
  <c r="N11" i="10" s="1"/>
  <c r="O11" i="10" s="1"/>
  <c r="B11" i="10"/>
  <c r="C11" i="10" s="1"/>
  <c r="D11" i="10" s="1"/>
  <c r="E11" i="10" s="1"/>
  <c r="F11" i="10" s="1"/>
  <c r="G11" i="10" s="1"/>
  <c r="H11" i="10" s="1"/>
  <c r="I11" i="10" s="1"/>
  <c r="J11" i="10" s="1"/>
  <c r="K11" i="10" s="1"/>
  <c r="S142" i="9"/>
  <c r="S138" i="9"/>
  <c r="J136" i="9"/>
  <c r="P136" i="9" s="1"/>
  <c r="S135" i="9"/>
  <c r="R135" i="9"/>
  <c r="J135" i="9"/>
  <c r="P135" i="9"/>
  <c r="S134" i="9"/>
  <c r="R134" i="9"/>
  <c r="J134" i="9"/>
  <c r="E134" i="9"/>
  <c r="P134" i="9" s="1"/>
  <c r="S133" i="9"/>
  <c r="R133" i="9"/>
  <c r="E133" i="9"/>
  <c r="P133" i="9" s="1"/>
  <c r="S132" i="9"/>
  <c r="R132" i="9"/>
  <c r="J132" i="9"/>
  <c r="E132" i="9"/>
  <c r="S131" i="9"/>
  <c r="R131" i="9"/>
  <c r="J131" i="9"/>
  <c r="E131" i="9"/>
  <c r="S130" i="9"/>
  <c r="R130" i="9"/>
  <c r="J130" i="9"/>
  <c r="P130" i="9" s="1"/>
  <c r="O129" i="9"/>
  <c r="N129" i="9"/>
  <c r="N128" i="9" s="1"/>
  <c r="N126" i="9" s="1"/>
  <c r="N125" i="9" s="1"/>
  <c r="N137" i="9" s="1"/>
  <c r="N146" i="9" s="1"/>
  <c r="M129" i="9"/>
  <c r="L129" i="9"/>
  <c r="L128" i="9" s="1"/>
  <c r="L137" i="9" s="1"/>
  <c r="L146" i="9" s="1"/>
  <c r="K129" i="9"/>
  <c r="R129" i="9" s="1"/>
  <c r="J129" i="9"/>
  <c r="J128" i="9" s="1"/>
  <c r="I129" i="9"/>
  <c r="H129" i="9"/>
  <c r="H128" i="9" s="1"/>
  <c r="G129" i="9"/>
  <c r="F129" i="9"/>
  <c r="F128" i="9" s="1"/>
  <c r="S128" i="9"/>
  <c r="O128" i="9"/>
  <c r="M128" i="9"/>
  <c r="K128" i="9"/>
  <c r="R128" i="9" s="1"/>
  <c r="I128" i="9"/>
  <c r="G128" i="9"/>
  <c r="S127" i="9"/>
  <c r="R127" i="9"/>
  <c r="J127" i="9"/>
  <c r="E127" i="9"/>
  <c r="S126" i="9"/>
  <c r="R126" i="9"/>
  <c r="M126" i="9"/>
  <c r="I126" i="9"/>
  <c r="H126" i="9"/>
  <c r="H125" i="9" s="1"/>
  <c r="G126" i="9"/>
  <c r="F126" i="9"/>
  <c r="E126" i="9" s="1"/>
  <c r="O125" i="9"/>
  <c r="M125" i="9"/>
  <c r="J125" i="9"/>
  <c r="I125" i="9"/>
  <c r="G125" i="9"/>
  <c r="J124" i="9"/>
  <c r="E124" i="9"/>
  <c r="J123" i="9"/>
  <c r="E123" i="9"/>
  <c r="J122" i="9"/>
  <c r="E122" i="9"/>
  <c r="J121" i="9"/>
  <c r="E121" i="9"/>
  <c r="S120" i="9"/>
  <c r="R120" i="9"/>
  <c r="J120" i="9"/>
  <c r="E120" i="9"/>
  <c r="S119" i="9"/>
  <c r="R119" i="9"/>
  <c r="J119" i="9"/>
  <c r="E119" i="9"/>
  <c r="S118" i="9"/>
  <c r="R118" i="9"/>
  <c r="J118" i="9"/>
  <c r="E118" i="9"/>
  <c r="K117" i="9"/>
  <c r="K109" i="9" s="1"/>
  <c r="K108" i="9" s="1"/>
  <c r="J117" i="9"/>
  <c r="E117" i="9"/>
  <c r="J116" i="9"/>
  <c r="P116" i="9" s="1"/>
  <c r="R115" i="9"/>
  <c r="J115" i="9"/>
  <c r="E115" i="9"/>
  <c r="S114" i="9"/>
  <c r="R114" i="9"/>
  <c r="J114" i="9"/>
  <c r="E114" i="9"/>
  <c r="J113" i="9"/>
  <c r="E113" i="9"/>
  <c r="S110" i="9"/>
  <c r="R110" i="9"/>
  <c r="S107" i="9"/>
  <c r="R107" i="9"/>
  <c r="S106" i="9"/>
  <c r="R106" i="9"/>
  <c r="S105" i="9"/>
  <c r="R105" i="9"/>
  <c r="S102" i="9"/>
  <c r="R102" i="9"/>
  <c r="S101" i="9"/>
  <c r="R101" i="9"/>
  <c r="S100" i="9"/>
  <c r="R100" i="9"/>
  <c r="S99" i="9"/>
  <c r="R99" i="9"/>
  <c r="S97" i="9"/>
  <c r="R97" i="9"/>
  <c r="S96" i="9"/>
  <c r="R96" i="9"/>
  <c r="S95" i="9"/>
  <c r="R95" i="9"/>
  <c r="S94" i="9"/>
  <c r="R94" i="9"/>
  <c r="S93" i="9"/>
  <c r="R93" i="9"/>
  <c r="S92" i="9"/>
  <c r="S91" i="9"/>
  <c r="R91" i="9"/>
  <c r="S88" i="9"/>
  <c r="R88" i="9"/>
  <c r="S87" i="9"/>
  <c r="R87" i="9"/>
  <c r="S86" i="9"/>
  <c r="R86" i="9"/>
  <c r="R92" i="9"/>
  <c r="S85" i="9"/>
  <c r="R85" i="9"/>
  <c r="R84" i="9"/>
  <c r="S82" i="9"/>
  <c r="R82" i="9"/>
  <c r="S81" i="9"/>
  <c r="R81" i="9"/>
  <c r="S79" i="9"/>
  <c r="R79" i="9"/>
  <c r="S78" i="9"/>
  <c r="R78" i="9"/>
  <c r="S77" i="9"/>
  <c r="R77" i="9"/>
  <c r="S76" i="9"/>
  <c r="R76" i="9"/>
  <c r="S75" i="9"/>
  <c r="R75" i="9"/>
  <c r="S74" i="9"/>
  <c r="R74" i="9"/>
  <c r="S72" i="9"/>
  <c r="R72" i="9"/>
  <c r="R71" i="9"/>
  <c r="R70" i="9"/>
  <c r="S69" i="9"/>
  <c r="R69" i="9"/>
  <c r="S68" i="9"/>
  <c r="R68" i="9"/>
  <c r="S67" i="9"/>
  <c r="R67" i="9"/>
  <c r="S66" i="9"/>
  <c r="R66" i="9"/>
  <c r="S65" i="9"/>
  <c r="R65" i="9"/>
  <c r="S64" i="9"/>
  <c r="R64" i="9"/>
  <c r="S63" i="9"/>
  <c r="R63" i="9"/>
  <c r="S62" i="9"/>
  <c r="R62" i="9"/>
  <c r="S61" i="9"/>
  <c r="R61" i="9"/>
  <c r="S60" i="9"/>
  <c r="R60" i="9"/>
  <c r="R59" i="9"/>
  <c r="S51" i="9"/>
  <c r="R51" i="9"/>
  <c r="R50" i="9"/>
  <c r="S49" i="9"/>
  <c r="R49" i="9"/>
  <c r="S48" i="9"/>
  <c r="R48" i="9"/>
  <c r="S47" i="9"/>
  <c r="R47" i="9"/>
  <c r="S46" i="9"/>
  <c r="R46" i="9"/>
  <c r="S45" i="9"/>
  <c r="R45" i="9"/>
  <c r="S40" i="9"/>
  <c r="R40" i="9"/>
  <c r="S39" i="9"/>
  <c r="R39" i="9"/>
  <c r="R38" i="9"/>
  <c r="R37" i="9"/>
  <c r="Q37" i="9"/>
  <c r="S36" i="9"/>
  <c r="R36" i="9"/>
  <c r="S35" i="9"/>
  <c r="R35" i="9"/>
  <c r="R34" i="9"/>
  <c r="R33" i="9"/>
  <c r="R32" i="9"/>
  <c r="S30" i="9"/>
  <c r="R30" i="9"/>
  <c r="S29" i="9"/>
  <c r="R29" i="9"/>
  <c r="S28" i="9"/>
  <c r="R28" i="9"/>
  <c r="S24" i="9"/>
  <c r="R24" i="9"/>
  <c r="S23" i="9"/>
  <c r="R23" i="9"/>
  <c r="S22" i="9"/>
  <c r="R22" i="9"/>
  <c r="S21" i="9"/>
  <c r="R21" i="9"/>
  <c r="S20" i="9"/>
  <c r="R20" i="9"/>
  <c r="S19" i="9"/>
  <c r="R19" i="9"/>
  <c r="S18" i="9"/>
  <c r="R18" i="9"/>
  <c r="S17" i="9"/>
  <c r="R17" i="9"/>
  <c r="S16" i="9"/>
  <c r="R16" i="9"/>
  <c r="S15" i="9"/>
  <c r="R15" i="9"/>
  <c r="S14" i="9"/>
  <c r="R14" i="9"/>
  <c r="R13" i="9"/>
  <c r="M137" i="9"/>
  <c r="M146" i="9" s="1"/>
  <c r="I137" i="9"/>
  <c r="I146" i="9" s="1"/>
  <c r="G137" i="9"/>
  <c r="G146" i="9" s="1"/>
  <c r="M11" i="9"/>
  <c r="N11" i="9" s="1"/>
  <c r="O11" i="9" s="1"/>
  <c r="B11" i="9"/>
  <c r="C11" i="9" s="1"/>
  <c r="D11" i="9" s="1"/>
  <c r="E11" i="9" s="1"/>
  <c r="F11" i="9" s="1"/>
  <c r="G11" i="9" s="1"/>
  <c r="H11" i="9" s="1"/>
  <c r="I11" i="9" s="1"/>
  <c r="J11" i="9" s="1"/>
  <c r="K11" i="9" s="1"/>
  <c r="H137" i="9" l="1"/>
  <c r="H146" i="9" s="1"/>
  <c r="R109" i="9"/>
  <c r="J109" i="9"/>
  <c r="J108" i="9" s="1"/>
  <c r="P108" i="9" s="1"/>
  <c r="P118" i="9"/>
  <c r="P119" i="9"/>
  <c r="P120" i="9"/>
  <c r="P121" i="9"/>
  <c r="P122" i="9"/>
  <c r="P127" i="9"/>
  <c r="P123" i="9"/>
  <c r="P124" i="9"/>
  <c r="P126" i="9"/>
  <c r="E125" i="9"/>
  <c r="P125" i="9" s="1"/>
  <c r="P114" i="9"/>
  <c r="P115" i="9"/>
  <c r="P117" i="9"/>
  <c r="F125" i="9"/>
  <c r="F137" i="9" s="1"/>
  <c r="F146" i="9" s="1"/>
  <c r="E129" i="9"/>
  <c r="E128" i="9" s="1"/>
  <c r="P128" i="9" s="1"/>
  <c r="P131" i="9"/>
  <c r="P132" i="9"/>
  <c r="P113" i="9"/>
  <c r="E109" i="9"/>
  <c r="P109" i="9" s="1"/>
  <c r="E83" i="9"/>
  <c r="P83" i="9" s="1"/>
  <c r="R83" i="9" s="1"/>
  <c r="P84" i="9"/>
  <c r="R108" i="9"/>
  <c r="J137" i="9"/>
  <c r="J146" i="9" s="1"/>
  <c r="R38" i="8"/>
  <c r="R25" i="8"/>
  <c r="R109" i="8"/>
  <c r="D24" i="11"/>
  <c r="F23" i="11"/>
  <c r="D27" i="11"/>
  <c r="F26" i="11"/>
  <c r="E31" i="11"/>
  <c r="I19" i="11"/>
  <c r="E147" i="10"/>
  <c r="E156" i="10" s="1"/>
  <c r="P12" i="10"/>
  <c r="P147" i="10" s="1"/>
  <c r="P156" i="10" s="1"/>
  <c r="K147" i="10"/>
  <c r="R12" i="10"/>
  <c r="O147" i="10"/>
  <c r="S12" i="10"/>
  <c r="S13" i="10"/>
  <c r="S34" i="10"/>
  <c r="S35" i="10"/>
  <c r="S71" i="10"/>
  <c r="S72" i="10"/>
  <c r="S84" i="10"/>
  <c r="S85" i="10"/>
  <c r="S94" i="10"/>
  <c r="S95" i="10"/>
  <c r="S118" i="10"/>
  <c r="S119" i="10"/>
  <c r="S124" i="10"/>
  <c r="R124" i="10"/>
  <c r="S127" i="10"/>
  <c r="R127" i="10"/>
  <c r="S135" i="10"/>
  <c r="R135" i="10"/>
  <c r="K137" i="9"/>
  <c r="R12" i="9"/>
  <c r="O137" i="9"/>
  <c r="S12" i="9"/>
  <c r="S13" i="9"/>
  <c r="S33" i="9"/>
  <c r="S34" i="9"/>
  <c r="S70" i="9"/>
  <c r="S71" i="9"/>
  <c r="S83" i="9"/>
  <c r="S84" i="9"/>
  <c r="S108" i="9"/>
  <c r="S109" i="9"/>
  <c r="S117" i="9"/>
  <c r="R117" i="9"/>
  <c r="S125" i="9"/>
  <c r="R125" i="9"/>
  <c r="D16" i="2"/>
  <c r="P129" i="9" l="1"/>
  <c r="E137" i="9"/>
  <c r="E146" i="9" s="1"/>
  <c r="P137" i="9"/>
  <c r="P146" i="9" s="1"/>
  <c r="D31" i="11"/>
  <c r="D26" i="11"/>
  <c r="F25" i="11"/>
  <c r="D25" i="11" s="1"/>
  <c r="D23" i="11"/>
  <c r="D22" i="11" s="1"/>
  <c r="D21" i="11" s="1"/>
  <c r="F22" i="11"/>
  <c r="F21" i="11" s="1"/>
  <c r="O156" i="10"/>
  <c r="S147" i="10"/>
  <c r="S139" i="10" s="1"/>
  <c r="K156" i="10"/>
  <c r="R147" i="10"/>
  <c r="O146" i="9"/>
  <c r="S137" i="9"/>
  <c r="S129" i="9" s="1"/>
  <c r="K146" i="9"/>
  <c r="R137" i="9"/>
  <c r="R35" i="8"/>
  <c r="R34" i="8"/>
  <c r="E16" i="6"/>
  <c r="J33" i="4"/>
  <c r="E33" i="4"/>
  <c r="H28" i="7"/>
  <c r="H29" i="7"/>
  <c r="P33" i="4" l="1"/>
  <c r="R14" i="8"/>
  <c r="R15" i="8"/>
  <c r="S15" i="8"/>
  <c r="R71" i="8"/>
  <c r="R72" i="8"/>
  <c r="R91" i="8"/>
  <c r="R92" i="8"/>
  <c r="R108" i="8"/>
  <c r="R107" i="8"/>
  <c r="R59" i="8"/>
  <c r="R60" i="8"/>
  <c r="S115" i="8"/>
  <c r="S114" i="8"/>
  <c r="S113" i="8"/>
  <c r="S112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60" i="8"/>
  <c r="S59" i="8"/>
  <c r="S58" i="8"/>
  <c r="S57" i="8"/>
  <c r="S56" i="8"/>
  <c r="S55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1" i="8"/>
  <c r="S30" i="8"/>
  <c r="S29" i="8"/>
  <c r="S28" i="8"/>
  <c r="S27" i="8"/>
  <c r="S26" i="8"/>
  <c r="S24" i="8"/>
  <c r="S23" i="8"/>
  <c r="S22" i="8"/>
  <c r="S21" i="8"/>
  <c r="S20" i="8"/>
  <c r="S19" i="8"/>
  <c r="S18" i="8"/>
  <c r="S17" i="8"/>
  <c r="S16" i="8"/>
  <c r="H121" i="7"/>
  <c r="K120" i="7"/>
  <c r="J120" i="7"/>
  <c r="I120" i="7"/>
  <c r="H120" i="7"/>
  <c r="K119" i="7"/>
  <c r="J119" i="7"/>
  <c r="I119" i="7"/>
  <c r="H119" i="7"/>
  <c r="H118" i="7"/>
  <c r="H117" i="7"/>
  <c r="H116" i="7"/>
  <c r="H115" i="7"/>
  <c r="H114" i="7"/>
  <c r="H113" i="7"/>
  <c r="H112" i="7"/>
  <c r="K111" i="7"/>
  <c r="J111" i="7"/>
  <c r="I111" i="7"/>
  <c r="H111" i="7"/>
  <c r="K110" i="7"/>
  <c r="J110" i="7"/>
  <c r="I110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M85" i="7"/>
  <c r="H85" i="7"/>
  <c r="K84" i="7"/>
  <c r="J84" i="7"/>
  <c r="M84" i="7" s="1"/>
  <c r="H84" i="7"/>
  <c r="K83" i="7"/>
  <c r="J83" i="7"/>
  <c r="I83" i="7"/>
  <c r="H83" i="7"/>
  <c r="H82" i="7"/>
  <c r="H81" i="7"/>
  <c r="H80" i="7"/>
  <c r="H79" i="7"/>
  <c r="H78" i="7"/>
  <c r="H77" i="7"/>
  <c r="H76" i="7"/>
  <c r="H75" i="7"/>
  <c r="H74" i="7"/>
  <c r="K73" i="7"/>
  <c r="J73" i="7"/>
  <c r="I73" i="7"/>
  <c r="H73" i="7"/>
  <c r="K72" i="7"/>
  <c r="J72" i="7"/>
  <c r="I72" i="7"/>
  <c r="H72" i="7"/>
  <c r="H71" i="7"/>
  <c r="H70" i="7"/>
  <c r="H69" i="7"/>
  <c r="H68" i="7"/>
  <c r="H67" i="7"/>
  <c r="H66" i="7"/>
  <c r="H65" i="7"/>
  <c r="H64" i="7"/>
  <c r="H63" i="7"/>
  <c r="H62" i="7"/>
  <c r="K61" i="7"/>
  <c r="J61" i="7"/>
  <c r="I61" i="7"/>
  <c r="H61" i="7"/>
  <c r="K60" i="7"/>
  <c r="J60" i="7"/>
  <c r="I60" i="7"/>
  <c r="H60" i="7"/>
  <c r="H58" i="7"/>
  <c r="H59" i="7" s="1"/>
  <c r="I57" i="7"/>
  <c r="H57" i="7"/>
  <c r="H56" i="7"/>
  <c r="H55" i="7"/>
  <c r="H54" i="7"/>
  <c r="H53" i="7"/>
  <c r="H52" i="7"/>
  <c r="I51" i="7"/>
  <c r="H51" i="7"/>
  <c r="H50" i="7"/>
  <c r="H49" i="7"/>
  <c r="H48" i="7"/>
  <c r="H47" i="7"/>
  <c r="H46" i="7"/>
  <c r="H45" i="7"/>
  <c r="H44" i="7"/>
  <c r="K43" i="7"/>
  <c r="J43" i="7"/>
  <c r="I43" i="7"/>
  <c r="H43" i="7"/>
  <c r="H42" i="7"/>
  <c r="I41" i="7"/>
  <c r="H41" i="7"/>
  <c r="H40" i="7"/>
  <c r="H39" i="7"/>
  <c r="H38" i="7"/>
  <c r="H37" i="7"/>
  <c r="H36" i="7"/>
  <c r="K35" i="7"/>
  <c r="K11" i="7" s="1"/>
  <c r="J35" i="7"/>
  <c r="J11" i="7" s="1"/>
  <c r="I35" i="7"/>
  <c r="H35" i="7"/>
  <c r="H34" i="7"/>
  <c r="H33" i="7"/>
  <c r="H32" i="7"/>
  <c r="H31" i="7"/>
  <c r="H30" i="7"/>
  <c r="H27" i="7"/>
  <c r="H26" i="7"/>
  <c r="H25" i="7"/>
  <c r="H24" i="7"/>
  <c r="H23" i="7"/>
  <c r="H22" i="7"/>
  <c r="H21" i="7"/>
  <c r="H20" i="7"/>
  <c r="H19" i="7"/>
  <c r="H18" i="7"/>
  <c r="H16" i="7"/>
  <c r="H15" i="7"/>
  <c r="H14" i="7"/>
  <c r="H13" i="7"/>
  <c r="H12" i="7"/>
  <c r="H11" i="7" s="1"/>
  <c r="L11" i="7"/>
  <c r="J10" i="7"/>
  <c r="C9" i="7"/>
  <c r="D9" i="7" s="1"/>
  <c r="E9" i="7" s="1"/>
  <c r="F9" i="7" s="1"/>
  <c r="G9" i="7" s="1"/>
  <c r="H9" i="7" s="1"/>
  <c r="I9" i="7" s="1"/>
  <c r="J9" i="7" s="1"/>
  <c r="K9" i="7" s="1"/>
  <c r="E20" i="6"/>
  <c r="E14" i="6"/>
  <c r="S140" i="4"/>
  <c r="S136" i="4"/>
  <c r="J134" i="4"/>
  <c r="P134" i="4" s="1"/>
  <c r="S133" i="4"/>
  <c r="R133" i="4"/>
  <c r="J133" i="4"/>
  <c r="E133" i="4"/>
  <c r="S132" i="4"/>
  <c r="R132" i="4"/>
  <c r="J132" i="4"/>
  <c r="E132" i="4"/>
  <c r="S131" i="4"/>
  <c r="R131" i="4"/>
  <c r="E131" i="4"/>
  <c r="P131" i="4" s="1"/>
  <c r="S130" i="4"/>
  <c r="R130" i="4"/>
  <c r="J130" i="4"/>
  <c r="E130" i="4"/>
  <c r="S129" i="4"/>
  <c r="R129" i="4"/>
  <c r="J129" i="4"/>
  <c r="E129" i="4"/>
  <c r="S128" i="4"/>
  <c r="R128" i="4"/>
  <c r="J128" i="4"/>
  <c r="E128" i="4"/>
  <c r="O127" i="4"/>
  <c r="O126" i="4" s="1"/>
  <c r="N127" i="4"/>
  <c r="N126" i="4" s="1"/>
  <c r="M127" i="4"/>
  <c r="L127" i="4"/>
  <c r="L126" i="4" s="1"/>
  <c r="K127" i="4"/>
  <c r="R127" i="4" s="1"/>
  <c r="I127" i="4"/>
  <c r="I126" i="4" s="1"/>
  <c r="H127" i="4"/>
  <c r="H126" i="4" s="1"/>
  <c r="G127" i="4"/>
  <c r="G126" i="4" s="1"/>
  <c r="F127" i="4"/>
  <c r="F126" i="4" s="1"/>
  <c r="S126" i="4"/>
  <c r="M126" i="4"/>
  <c r="J125" i="4"/>
  <c r="E125" i="4"/>
  <c r="J124" i="4"/>
  <c r="E124" i="4"/>
  <c r="J123" i="4"/>
  <c r="E123" i="4"/>
  <c r="J122" i="4"/>
  <c r="E122" i="4"/>
  <c r="S121" i="4"/>
  <c r="R121" i="4"/>
  <c r="J121" i="4"/>
  <c r="E121" i="4"/>
  <c r="S120" i="4"/>
  <c r="R120" i="4"/>
  <c r="J120" i="4"/>
  <c r="E120" i="4"/>
  <c r="S119" i="4"/>
  <c r="R119" i="4"/>
  <c r="J119" i="4"/>
  <c r="E119" i="4"/>
  <c r="K118" i="4"/>
  <c r="J118" i="4"/>
  <c r="E118" i="4"/>
  <c r="O117" i="4"/>
  <c r="J117" i="4" s="1"/>
  <c r="R116" i="4"/>
  <c r="J116" i="4"/>
  <c r="E116" i="4"/>
  <c r="S115" i="4"/>
  <c r="R115" i="4"/>
  <c r="J115" i="4"/>
  <c r="E115" i="4"/>
  <c r="J114" i="4"/>
  <c r="E114" i="4"/>
  <c r="P113" i="4"/>
  <c r="J112" i="4"/>
  <c r="P112" i="4" s="1"/>
  <c r="S111" i="4"/>
  <c r="R111" i="4"/>
  <c r="J111" i="4"/>
  <c r="E111" i="4"/>
  <c r="N110" i="4"/>
  <c r="N109" i="4" s="1"/>
  <c r="M110" i="4"/>
  <c r="M109" i="4" s="1"/>
  <c r="L110" i="4"/>
  <c r="L109" i="4" s="1"/>
  <c r="K110" i="4"/>
  <c r="I110" i="4"/>
  <c r="H110" i="4"/>
  <c r="H109" i="4" s="1"/>
  <c r="G110" i="4"/>
  <c r="G109" i="4" s="1"/>
  <c r="F110" i="4"/>
  <c r="F109" i="4" s="1"/>
  <c r="K109" i="4"/>
  <c r="I109" i="4"/>
  <c r="S108" i="4"/>
  <c r="R108" i="4"/>
  <c r="J108" i="4"/>
  <c r="P108" i="4" s="1"/>
  <c r="S107" i="4"/>
  <c r="R107" i="4"/>
  <c r="J107" i="4"/>
  <c r="E107" i="4"/>
  <c r="S106" i="4"/>
  <c r="R106" i="4"/>
  <c r="J106" i="4"/>
  <c r="E106" i="4"/>
  <c r="E105" i="4"/>
  <c r="P105" i="4" s="1"/>
  <c r="J104" i="4"/>
  <c r="E104" i="4"/>
  <c r="S103" i="4"/>
  <c r="R103" i="4"/>
  <c r="J103" i="4"/>
  <c r="E103" i="4"/>
  <c r="S102" i="4"/>
  <c r="R102" i="4"/>
  <c r="J102" i="4"/>
  <c r="E102" i="4"/>
  <c r="S101" i="4"/>
  <c r="R101" i="4"/>
  <c r="J101" i="4"/>
  <c r="E101" i="4"/>
  <c r="S100" i="4"/>
  <c r="R100" i="4"/>
  <c r="J100" i="4"/>
  <c r="E100" i="4"/>
  <c r="S99" i="4"/>
  <c r="R99" i="4"/>
  <c r="J99" i="4"/>
  <c r="E99" i="4"/>
  <c r="S98" i="4"/>
  <c r="R98" i="4"/>
  <c r="J98" i="4"/>
  <c r="P98" i="4" s="1"/>
  <c r="S97" i="4"/>
  <c r="R97" i="4"/>
  <c r="J97" i="4"/>
  <c r="E97" i="4"/>
  <c r="S96" i="4"/>
  <c r="R96" i="4"/>
  <c r="J96" i="4"/>
  <c r="E96" i="4"/>
  <c r="S95" i="4"/>
  <c r="R95" i="4"/>
  <c r="J95" i="4"/>
  <c r="E95" i="4"/>
  <c r="S94" i="4"/>
  <c r="R94" i="4"/>
  <c r="J94" i="4"/>
  <c r="E94" i="4"/>
  <c r="S93" i="4"/>
  <c r="R93" i="4"/>
  <c r="J93" i="4"/>
  <c r="E93" i="4"/>
  <c r="J92" i="4"/>
  <c r="E92" i="4"/>
  <c r="J91" i="4"/>
  <c r="E91" i="4"/>
  <c r="S90" i="4"/>
  <c r="R90" i="4"/>
  <c r="J90" i="4"/>
  <c r="E90" i="4"/>
  <c r="S89" i="4"/>
  <c r="R89" i="4"/>
  <c r="J89" i="4"/>
  <c r="E89" i="4"/>
  <c r="S88" i="4"/>
  <c r="R88" i="4"/>
  <c r="J88" i="4"/>
  <c r="E88" i="4"/>
  <c r="S87" i="4"/>
  <c r="R87" i="4"/>
  <c r="J87" i="4"/>
  <c r="E87" i="4"/>
  <c r="O86" i="4"/>
  <c r="N86" i="4"/>
  <c r="N85" i="4" s="1"/>
  <c r="M86" i="4"/>
  <c r="M85" i="4" s="1"/>
  <c r="L86" i="4"/>
  <c r="K86" i="4"/>
  <c r="R86" i="4" s="1"/>
  <c r="I86" i="4"/>
  <c r="I85" i="4" s="1"/>
  <c r="H86" i="4"/>
  <c r="G86" i="4"/>
  <c r="G85" i="4" s="1"/>
  <c r="F86" i="4"/>
  <c r="E86" i="4" s="1"/>
  <c r="L85" i="4"/>
  <c r="H85" i="4"/>
  <c r="F85" i="4"/>
  <c r="S84" i="4"/>
  <c r="R84" i="4"/>
  <c r="J84" i="4"/>
  <c r="E84" i="4"/>
  <c r="S83" i="4"/>
  <c r="R83" i="4"/>
  <c r="J83" i="4"/>
  <c r="E83" i="4"/>
  <c r="E82" i="4"/>
  <c r="P82" i="4" s="1"/>
  <c r="S81" i="4"/>
  <c r="R81" i="4"/>
  <c r="J81" i="4"/>
  <c r="E81" i="4"/>
  <c r="S80" i="4"/>
  <c r="R80" i="4"/>
  <c r="E80" i="4"/>
  <c r="P80" i="4" s="1"/>
  <c r="S79" i="4"/>
  <c r="R79" i="4"/>
  <c r="E79" i="4"/>
  <c r="P79" i="4" s="1"/>
  <c r="S78" i="4"/>
  <c r="R78" i="4"/>
  <c r="E78" i="4"/>
  <c r="P78" i="4" s="1"/>
  <c r="S77" i="4"/>
  <c r="R77" i="4"/>
  <c r="J77" i="4"/>
  <c r="E77" i="4"/>
  <c r="S76" i="4"/>
  <c r="R76" i="4"/>
  <c r="E76" i="4"/>
  <c r="P76" i="4" s="1"/>
  <c r="E75" i="4"/>
  <c r="P75" i="4" s="1"/>
  <c r="S74" i="4"/>
  <c r="R74" i="4"/>
  <c r="J74" i="4"/>
  <c r="E74" i="4"/>
  <c r="O73" i="4"/>
  <c r="N73" i="4"/>
  <c r="M73" i="4"/>
  <c r="M72" i="4" s="1"/>
  <c r="L73" i="4"/>
  <c r="K73" i="4"/>
  <c r="R73" i="4" s="1"/>
  <c r="I73" i="4"/>
  <c r="I72" i="4" s="1"/>
  <c r="H73" i="4"/>
  <c r="H72" i="4" s="1"/>
  <c r="G73" i="4"/>
  <c r="G72" i="4" s="1"/>
  <c r="F73" i="4"/>
  <c r="E73" i="4" s="1"/>
  <c r="N72" i="4"/>
  <c r="L72" i="4"/>
  <c r="S71" i="4"/>
  <c r="R71" i="4"/>
  <c r="E71" i="4"/>
  <c r="P71" i="4" s="1"/>
  <c r="S70" i="4"/>
  <c r="R70" i="4"/>
  <c r="J70" i="4"/>
  <c r="E70" i="4"/>
  <c r="S69" i="4"/>
  <c r="R69" i="4"/>
  <c r="E69" i="4"/>
  <c r="P69" i="4" s="1"/>
  <c r="S68" i="4"/>
  <c r="R68" i="4"/>
  <c r="J68" i="4"/>
  <c r="E68" i="4"/>
  <c r="S67" i="4"/>
  <c r="R67" i="4"/>
  <c r="J67" i="4"/>
  <c r="E67" i="4"/>
  <c r="S66" i="4"/>
  <c r="R66" i="4"/>
  <c r="J66" i="4"/>
  <c r="E66" i="4"/>
  <c r="S65" i="4"/>
  <c r="R65" i="4"/>
  <c r="J65" i="4"/>
  <c r="E65" i="4"/>
  <c r="S64" i="4"/>
  <c r="R64" i="4"/>
  <c r="J64" i="4"/>
  <c r="E64" i="4"/>
  <c r="S63" i="4"/>
  <c r="R63" i="4"/>
  <c r="J63" i="4"/>
  <c r="E63" i="4"/>
  <c r="S62" i="4"/>
  <c r="R62" i="4"/>
  <c r="E62" i="4"/>
  <c r="P62" i="4" s="1"/>
  <c r="R61" i="4"/>
  <c r="J61" i="4"/>
  <c r="E61" i="4"/>
  <c r="E60" i="4"/>
  <c r="P60" i="4" s="1"/>
  <c r="O59" i="4"/>
  <c r="N59" i="4"/>
  <c r="N36" i="4" s="1"/>
  <c r="N35" i="4" s="1"/>
  <c r="M59" i="4"/>
  <c r="L59" i="4"/>
  <c r="K59" i="4"/>
  <c r="J59" i="4"/>
  <c r="I59" i="4"/>
  <c r="H59" i="4"/>
  <c r="G59" i="4"/>
  <c r="F59" i="4"/>
  <c r="E59" i="4" s="1"/>
  <c r="P59" i="4" s="1"/>
  <c r="E58" i="4"/>
  <c r="P58" i="4" s="1"/>
  <c r="E57" i="4"/>
  <c r="P57" i="4" s="1"/>
  <c r="E56" i="4"/>
  <c r="P56" i="4" s="1"/>
  <c r="J54" i="4"/>
  <c r="E54" i="4"/>
  <c r="S53" i="4"/>
  <c r="R53" i="4"/>
  <c r="J53" i="4"/>
  <c r="E53" i="4"/>
  <c r="R52" i="4"/>
  <c r="J52" i="4"/>
  <c r="E52" i="4"/>
  <c r="P52" i="4" s="1"/>
  <c r="S51" i="4"/>
  <c r="R51" i="4"/>
  <c r="J51" i="4"/>
  <c r="E51" i="4"/>
  <c r="P51" i="4" s="1"/>
  <c r="S50" i="4"/>
  <c r="R50" i="4"/>
  <c r="J50" i="4"/>
  <c r="E50" i="4"/>
  <c r="P50" i="4" s="1"/>
  <c r="S49" i="4"/>
  <c r="R49" i="4"/>
  <c r="J49" i="4"/>
  <c r="E49" i="4"/>
  <c r="P49" i="4" s="1"/>
  <c r="S48" i="4"/>
  <c r="R48" i="4"/>
  <c r="J48" i="4"/>
  <c r="E48" i="4"/>
  <c r="P48" i="4" s="1"/>
  <c r="S47" i="4"/>
  <c r="R47" i="4"/>
  <c r="J47" i="4"/>
  <c r="E47" i="4"/>
  <c r="P47" i="4" s="1"/>
  <c r="J46" i="4"/>
  <c r="E46" i="4"/>
  <c r="P46" i="4" s="1"/>
  <c r="J45" i="4"/>
  <c r="E45" i="4"/>
  <c r="P45" i="4" s="1"/>
  <c r="J44" i="4"/>
  <c r="E44" i="4"/>
  <c r="P44" i="4" s="1"/>
  <c r="J43" i="4"/>
  <c r="E43" i="4"/>
  <c r="P43" i="4" s="1"/>
  <c r="S42" i="4"/>
  <c r="R42" i="4"/>
  <c r="J42" i="4"/>
  <c r="E42" i="4"/>
  <c r="P42" i="4" s="1"/>
  <c r="S41" i="4"/>
  <c r="R41" i="4"/>
  <c r="J41" i="4"/>
  <c r="E41" i="4"/>
  <c r="P41" i="4" s="1"/>
  <c r="R40" i="4"/>
  <c r="E40" i="4"/>
  <c r="P40" i="4" s="1"/>
  <c r="R39" i="4"/>
  <c r="J39" i="4"/>
  <c r="E39" i="4"/>
  <c r="S38" i="4"/>
  <c r="R38" i="4"/>
  <c r="J38" i="4"/>
  <c r="E38" i="4"/>
  <c r="S37" i="4"/>
  <c r="R37" i="4"/>
  <c r="J37" i="4"/>
  <c r="E37" i="4"/>
  <c r="O36" i="4"/>
  <c r="M36" i="4"/>
  <c r="M35" i="4" s="1"/>
  <c r="L36" i="4"/>
  <c r="L35" i="4" s="1"/>
  <c r="K36" i="4"/>
  <c r="I36" i="4"/>
  <c r="I35" i="4" s="1"/>
  <c r="H36" i="4"/>
  <c r="G36" i="4"/>
  <c r="G35" i="4" s="1"/>
  <c r="F36" i="4"/>
  <c r="E36" i="4"/>
  <c r="H35" i="4"/>
  <c r="F35" i="4"/>
  <c r="R34" i="4"/>
  <c r="J34" i="4"/>
  <c r="E22" i="6" s="1"/>
  <c r="E26" i="6" s="1"/>
  <c r="E34" i="4"/>
  <c r="E17" i="6" s="1"/>
  <c r="E25" i="6" s="1"/>
  <c r="J32" i="4"/>
  <c r="E32" i="4"/>
  <c r="S31" i="4"/>
  <c r="R31" i="4"/>
  <c r="J31" i="4"/>
  <c r="E31" i="4"/>
  <c r="S30" i="4"/>
  <c r="R30" i="4"/>
  <c r="J30" i="4"/>
  <c r="E30" i="4"/>
  <c r="S29" i="4"/>
  <c r="R29" i="4"/>
  <c r="J29" i="4"/>
  <c r="E29" i="4"/>
  <c r="P29" i="4" s="1"/>
  <c r="J28" i="4"/>
  <c r="E28" i="4"/>
  <c r="P28" i="4" s="1"/>
  <c r="E27" i="4"/>
  <c r="P27" i="4" s="1"/>
  <c r="J26" i="4"/>
  <c r="S24" i="4"/>
  <c r="R24" i="4"/>
  <c r="J24" i="4"/>
  <c r="E24" i="4"/>
  <c r="P24" i="4" s="1"/>
  <c r="S23" i="4"/>
  <c r="R23" i="4"/>
  <c r="J23" i="4"/>
  <c r="E23" i="4"/>
  <c r="P23" i="4" s="1"/>
  <c r="S22" i="4"/>
  <c r="R22" i="4"/>
  <c r="J22" i="4"/>
  <c r="E22" i="4"/>
  <c r="S21" i="4"/>
  <c r="R21" i="4"/>
  <c r="J21" i="4"/>
  <c r="E21" i="4"/>
  <c r="P21" i="4" s="1"/>
  <c r="S20" i="4"/>
  <c r="R20" i="4"/>
  <c r="E20" i="4"/>
  <c r="P20" i="4" s="1"/>
  <c r="S19" i="4"/>
  <c r="R19" i="4"/>
  <c r="J19" i="4"/>
  <c r="E19" i="4"/>
  <c r="S18" i="4"/>
  <c r="R18" i="4"/>
  <c r="J18" i="4"/>
  <c r="E18" i="4"/>
  <c r="S17" i="4"/>
  <c r="R17" i="4"/>
  <c r="E17" i="4"/>
  <c r="P17" i="4" s="1"/>
  <c r="S16" i="4"/>
  <c r="R16" i="4"/>
  <c r="J16" i="4"/>
  <c r="E16" i="4"/>
  <c r="P16" i="4" s="1"/>
  <c r="S15" i="4"/>
  <c r="R15" i="4"/>
  <c r="J15" i="4"/>
  <c r="E15" i="4"/>
  <c r="P15" i="4" s="1"/>
  <c r="S14" i="4"/>
  <c r="R14" i="4"/>
  <c r="J14" i="4"/>
  <c r="E14" i="4"/>
  <c r="P14" i="4" s="1"/>
  <c r="O13" i="4"/>
  <c r="O12" i="4" s="1"/>
  <c r="N13" i="4"/>
  <c r="N12" i="4" s="1"/>
  <c r="M13" i="4"/>
  <c r="L13" i="4"/>
  <c r="L12" i="4" s="1"/>
  <c r="K13" i="4"/>
  <c r="R13" i="4" s="1"/>
  <c r="I13" i="4"/>
  <c r="I12" i="4" s="1"/>
  <c r="H13" i="4"/>
  <c r="G13" i="4"/>
  <c r="G12" i="4" s="1"/>
  <c r="F13" i="4"/>
  <c r="E13" i="4"/>
  <c r="E12" i="4" s="1"/>
  <c r="M12" i="4"/>
  <c r="K12" i="4"/>
  <c r="H12" i="4"/>
  <c r="F12" i="4"/>
  <c r="M11" i="4"/>
  <c r="N11" i="4" s="1"/>
  <c r="O11" i="4" s="1"/>
  <c r="B11" i="4"/>
  <c r="C11" i="4" s="1"/>
  <c r="D11" i="4" s="1"/>
  <c r="E11" i="4" s="1"/>
  <c r="F11" i="4" s="1"/>
  <c r="G11" i="4" s="1"/>
  <c r="H11" i="4" s="1"/>
  <c r="I11" i="4" s="1"/>
  <c r="J11" i="4" s="1"/>
  <c r="K11" i="4" s="1"/>
  <c r="C115" i="3"/>
  <c r="C114" i="3"/>
  <c r="C113" i="3"/>
  <c r="C112" i="3"/>
  <c r="C111" i="3"/>
  <c r="C110" i="3"/>
  <c r="C109" i="3"/>
  <c r="F108" i="3"/>
  <c r="F103" i="3" s="1"/>
  <c r="F102" i="3" s="1"/>
  <c r="E108" i="3"/>
  <c r="D108" i="3"/>
  <c r="C108" i="3" s="1"/>
  <c r="C107" i="3"/>
  <c r="D106" i="3"/>
  <c r="C106" i="3" s="1"/>
  <c r="C105" i="3"/>
  <c r="E104" i="3"/>
  <c r="D104" i="3"/>
  <c r="C104" i="3" s="1"/>
  <c r="E103" i="3"/>
  <c r="E102" i="3" s="1"/>
  <c r="C100" i="3"/>
  <c r="E99" i="3"/>
  <c r="C99" i="3" s="1"/>
  <c r="F98" i="3"/>
  <c r="C98" i="3"/>
  <c r="F97" i="3"/>
  <c r="C97" i="3"/>
  <c r="F96" i="3"/>
  <c r="E96" i="3"/>
  <c r="C96" i="3"/>
  <c r="E95" i="3"/>
  <c r="F95" i="3" s="1"/>
  <c r="C95" i="3"/>
  <c r="F94" i="3"/>
  <c r="C94" i="3"/>
  <c r="E93" i="3"/>
  <c r="F93" i="3" s="1"/>
  <c r="C93" i="3"/>
  <c r="F92" i="3"/>
  <c r="E92" i="3"/>
  <c r="C92" i="3" s="1"/>
  <c r="C91" i="3"/>
  <c r="C90" i="3"/>
  <c r="C89" i="3"/>
  <c r="E88" i="3"/>
  <c r="C88" i="3" s="1"/>
  <c r="E87" i="3"/>
  <c r="C87" i="3" s="1"/>
  <c r="F86" i="3"/>
  <c r="C86" i="3"/>
  <c r="C85" i="3"/>
  <c r="C84" i="3"/>
  <c r="C83" i="3"/>
  <c r="F82" i="3"/>
  <c r="E82" i="3"/>
  <c r="E81" i="3" s="1"/>
  <c r="D82" i="3"/>
  <c r="F81" i="3"/>
  <c r="D81" i="3"/>
  <c r="C80" i="3"/>
  <c r="C79" i="3"/>
  <c r="C78" i="3"/>
  <c r="D77" i="3"/>
  <c r="C77" i="3" s="1"/>
  <c r="C76" i="3"/>
  <c r="C75" i="3"/>
  <c r="C74" i="3"/>
  <c r="C73" i="3"/>
  <c r="C72" i="3"/>
  <c r="C71" i="3"/>
  <c r="D70" i="3"/>
  <c r="C70" i="3" s="1"/>
  <c r="D69" i="3"/>
  <c r="C69" i="3" s="1"/>
  <c r="C68" i="3"/>
  <c r="C67" i="3"/>
  <c r="C66" i="3"/>
  <c r="C65" i="3"/>
  <c r="C64" i="3"/>
  <c r="F63" i="3"/>
  <c r="E63" i="3"/>
  <c r="D63" i="3"/>
  <c r="C63" i="3" s="1"/>
  <c r="C62" i="3"/>
  <c r="C61" i="3"/>
  <c r="D60" i="3"/>
  <c r="C60" i="3" s="1"/>
  <c r="F59" i="3"/>
  <c r="E59" i="3"/>
  <c r="F58" i="3"/>
  <c r="F101" i="3" s="1"/>
  <c r="C57" i="3"/>
  <c r="C56" i="3"/>
  <c r="C55" i="3"/>
  <c r="E54" i="3"/>
  <c r="D54" i="3"/>
  <c r="C54" i="3" s="1"/>
  <c r="E53" i="3"/>
  <c r="C52" i="3"/>
  <c r="C51" i="3"/>
  <c r="C50" i="3"/>
  <c r="D49" i="3"/>
  <c r="C49" i="3" s="1"/>
  <c r="C48" i="3"/>
  <c r="C47" i="3"/>
  <c r="D46" i="3"/>
  <c r="C46" i="3" s="1"/>
  <c r="C45" i="3"/>
  <c r="C44" i="3"/>
  <c r="C43" i="3"/>
  <c r="C42" i="3"/>
  <c r="C41" i="3"/>
  <c r="C40" i="3"/>
  <c r="C39" i="3"/>
  <c r="C38" i="3"/>
  <c r="C37" i="3"/>
  <c r="C36" i="3"/>
  <c r="D35" i="3"/>
  <c r="C35" i="3" s="1"/>
  <c r="C33" i="3"/>
  <c r="C32" i="3"/>
  <c r="D31" i="3"/>
  <c r="C31" i="3" s="1"/>
  <c r="C30" i="3"/>
  <c r="D29" i="3"/>
  <c r="C29" i="3"/>
  <c r="C28" i="3"/>
  <c r="D27" i="3"/>
  <c r="C27" i="3" s="1"/>
  <c r="C25" i="3"/>
  <c r="D24" i="3"/>
  <c r="C24" i="3" s="1"/>
  <c r="C23" i="3"/>
  <c r="D22" i="3"/>
  <c r="C22" i="3" s="1"/>
  <c r="C20" i="3"/>
  <c r="D19" i="3"/>
  <c r="C19" i="3"/>
  <c r="C18" i="3"/>
  <c r="C17" i="3"/>
  <c r="C16" i="3"/>
  <c r="C14" i="3"/>
  <c r="E12" i="3"/>
  <c r="E11" i="3"/>
  <c r="C113" i="2"/>
  <c r="C112" i="2"/>
  <c r="C111" i="2"/>
  <c r="C110" i="2"/>
  <c r="C109" i="2"/>
  <c r="C108" i="2"/>
  <c r="F107" i="2"/>
  <c r="E107" i="2"/>
  <c r="D107" i="2"/>
  <c r="C107" i="2"/>
  <c r="C106" i="2"/>
  <c r="D105" i="2"/>
  <c r="C105" i="2"/>
  <c r="C104" i="2"/>
  <c r="C103" i="2"/>
  <c r="F102" i="2"/>
  <c r="E102" i="2"/>
  <c r="D102" i="2"/>
  <c r="C102" i="2"/>
  <c r="F101" i="2"/>
  <c r="E101" i="2"/>
  <c r="D101" i="2"/>
  <c r="C101" i="2"/>
  <c r="F100" i="2"/>
  <c r="E100" i="2"/>
  <c r="D100" i="2"/>
  <c r="C100" i="2"/>
  <c r="C98" i="2"/>
  <c r="E97" i="2"/>
  <c r="C97" i="2"/>
  <c r="F96" i="2"/>
  <c r="C96" i="2"/>
  <c r="F95" i="2"/>
  <c r="C95" i="2"/>
  <c r="F94" i="2"/>
  <c r="E94" i="2"/>
  <c r="C94" i="2"/>
  <c r="E93" i="2"/>
  <c r="F93" i="2" s="1"/>
  <c r="C93" i="2"/>
  <c r="F92" i="2"/>
  <c r="C92" i="2"/>
  <c r="E91" i="2"/>
  <c r="F91" i="2" s="1"/>
  <c r="C91" i="2"/>
  <c r="F90" i="2"/>
  <c r="E90" i="2"/>
  <c r="C90" i="2"/>
  <c r="C89" i="2"/>
  <c r="C88" i="2"/>
  <c r="C87" i="2"/>
  <c r="E86" i="2"/>
  <c r="C86" i="2"/>
  <c r="E85" i="2"/>
  <c r="C85" i="2"/>
  <c r="F84" i="2"/>
  <c r="C84" i="2"/>
  <c r="C83" i="2"/>
  <c r="C82" i="2"/>
  <c r="C81" i="2"/>
  <c r="F80" i="2"/>
  <c r="E80" i="2"/>
  <c r="D80" i="2"/>
  <c r="C80" i="2"/>
  <c r="F79" i="2"/>
  <c r="E79" i="2"/>
  <c r="D79" i="2"/>
  <c r="C79" i="2"/>
  <c r="C78" i="2"/>
  <c r="C77" i="2"/>
  <c r="C76" i="2"/>
  <c r="D75" i="2"/>
  <c r="C75" i="2" s="1"/>
  <c r="C74" i="2"/>
  <c r="D73" i="2"/>
  <c r="C73" i="2"/>
  <c r="C72" i="2"/>
  <c r="C71" i="2"/>
  <c r="C70" i="2"/>
  <c r="C69" i="2"/>
  <c r="D68" i="2"/>
  <c r="C68" i="2"/>
  <c r="C66" i="2"/>
  <c r="C65" i="2"/>
  <c r="C64" i="2"/>
  <c r="C63" i="2"/>
  <c r="F62" i="2"/>
  <c r="E62" i="2"/>
  <c r="D62" i="2"/>
  <c r="C62" i="2"/>
  <c r="C61" i="2"/>
  <c r="D60" i="2"/>
  <c r="C60" i="2"/>
  <c r="F59" i="2"/>
  <c r="E59" i="2"/>
  <c r="D59" i="2"/>
  <c r="C59" i="2" s="1"/>
  <c r="F58" i="2"/>
  <c r="F99" i="2" s="1"/>
  <c r="F114" i="2" s="1"/>
  <c r="E58" i="2"/>
  <c r="C57" i="2"/>
  <c r="C56" i="2"/>
  <c r="C55" i="2"/>
  <c r="E54" i="2"/>
  <c r="D54" i="2"/>
  <c r="C54" i="2"/>
  <c r="E53" i="2"/>
  <c r="D53" i="2"/>
  <c r="C53" i="2"/>
  <c r="C52" i="2"/>
  <c r="C51" i="2"/>
  <c r="C50" i="2"/>
  <c r="D49" i="2"/>
  <c r="C49" i="2"/>
  <c r="C48" i="2"/>
  <c r="C47" i="2"/>
  <c r="D46" i="2"/>
  <c r="C46" i="2" s="1"/>
  <c r="C45" i="2"/>
  <c r="C44" i="2"/>
  <c r="C43" i="2"/>
  <c r="C42" i="2"/>
  <c r="C41" i="2"/>
  <c r="C40" i="2"/>
  <c r="C39" i="2"/>
  <c r="C38" i="2"/>
  <c r="C37" i="2"/>
  <c r="C36" i="2"/>
  <c r="D35" i="2"/>
  <c r="C35" i="2" s="1"/>
  <c r="C33" i="2"/>
  <c r="C32" i="2"/>
  <c r="D31" i="2"/>
  <c r="C31" i="2" s="1"/>
  <c r="C30" i="2"/>
  <c r="D29" i="2"/>
  <c r="C29" i="2"/>
  <c r="C28" i="2"/>
  <c r="D27" i="2"/>
  <c r="C27" i="2"/>
  <c r="D26" i="2"/>
  <c r="C26" i="2" s="1"/>
  <c r="C25" i="2"/>
  <c r="D24" i="2"/>
  <c r="C24" i="2"/>
  <c r="C23" i="2"/>
  <c r="D22" i="2"/>
  <c r="C22" i="2" s="1"/>
  <c r="D21" i="2"/>
  <c r="C21" i="2" s="1"/>
  <c r="C20" i="2"/>
  <c r="D19" i="2"/>
  <c r="C19" i="2"/>
  <c r="C18" i="2"/>
  <c r="C17" i="2"/>
  <c r="C15" i="2"/>
  <c r="E13" i="2"/>
  <c r="E12" i="2"/>
  <c r="E99" i="2" s="1"/>
  <c r="E114" i="2" s="1"/>
  <c r="I11" i="7" l="1"/>
  <c r="I10" i="7" s="1"/>
  <c r="E127" i="4"/>
  <c r="E126" i="4" s="1"/>
  <c r="P22" i="4"/>
  <c r="P30" i="4"/>
  <c r="P31" i="4"/>
  <c r="P32" i="4"/>
  <c r="P70" i="4"/>
  <c r="J73" i="4"/>
  <c r="J72" i="4" s="1"/>
  <c r="P81" i="4"/>
  <c r="P119" i="4"/>
  <c r="P120" i="4"/>
  <c r="P121" i="4"/>
  <c r="P122" i="4"/>
  <c r="P123" i="4"/>
  <c r="P124" i="4"/>
  <c r="P125" i="4"/>
  <c r="K126" i="4"/>
  <c r="R126" i="4" s="1"/>
  <c r="P128" i="4"/>
  <c r="P129" i="4"/>
  <c r="P130" i="4"/>
  <c r="J127" i="4"/>
  <c r="J126" i="4" s="1"/>
  <c r="L135" i="4"/>
  <c r="L144" i="4" s="1"/>
  <c r="N135" i="4"/>
  <c r="N144" i="4" s="1"/>
  <c r="J36" i="4"/>
  <c r="J35" i="4" s="1"/>
  <c r="E35" i="4"/>
  <c r="P35" i="4" s="1"/>
  <c r="Q33" i="9" s="1"/>
  <c r="R36" i="4"/>
  <c r="F72" i="4"/>
  <c r="E72" i="4" s="1"/>
  <c r="P72" i="4" s="1"/>
  <c r="J86" i="4"/>
  <c r="P99" i="4"/>
  <c r="P100" i="4"/>
  <c r="P101" i="4"/>
  <c r="P102" i="4"/>
  <c r="P103" i="4"/>
  <c r="P104" i="4"/>
  <c r="E109" i="4"/>
  <c r="P111" i="4"/>
  <c r="P114" i="4"/>
  <c r="P115" i="4"/>
  <c r="P116" i="4"/>
  <c r="G135" i="4"/>
  <c r="P117" i="4"/>
  <c r="J110" i="4"/>
  <c r="J109" i="4" s="1"/>
  <c r="F135" i="4"/>
  <c r="F144" i="4" s="1"/>
  <c r="P36" i="4"/>
  <c r="P73" i="4"/>
  <c r="P86" i="4"/>
  <c r="P126" i="4"/>
  <c r="H135" i="4"/>
  <c r="H144" i="4" s="1"/>
  <c r="M135" i="4"/>
  <c r="M144" i="4" s="1"/>
  <c r="P18" i="4"/>
  <c r="P19" i="4"/>
  <c r="K35" i="4"/>
  <c r="O35" i="4"/>
  <c r="S35" i="4" s="1"/>
  <c r="P37" i="4"/>
  <c r="P38" i="4"/>
  <c r="P39" i="4"/>
  <c r="Q39" i="4" s="1"/>
  <c r="P53" i="4"/>
  <c r="P54" i="4"/>
  <c r="E55" i="4"/>
  <c r="P55" i="4" s="1"/>
  <c r="P61" i="4"/>
  <c r="P63" i="4"/>
  <c r="P64" i="4"/>
  <c r="P65" i="4"/>
  <c r="P66" i="4"/>
  <c r="P67" i="4"/>
  <c r="P68" i="4"/>
  <c r="K72" i="4"/>
  <c r="O72" i="4"/>
  <c r="P74" i="4"/>
  <c r="P77" i="4"/>
  <c r="P83" i="4"/>
  <c r="P84" i="4"/>
  <c r="K85" i="4"/>
  <c r="K135" i="4" s="1"/>
  <c r="O85" i="4"/>
  <c r="J85" i="4" s="1"/>
  <c r="P87" i="4"/>
  <c r="P88" i="4"/>
  <c r="P89" i="4"/>
  <c r="P90" i="4"/>
  <c r="P91" i="4"/>
  <c r="P92" i="4"/>
  <c r="P93" i="4"/>
  <c r="P94" i="4"/>
  <c r="P95" i="4"/>
  <c r="P96" i="4"/>
  <c r="P97" i="4"/>
  <c r="P106" i="4"/>
  <c r="P107" i="4"/>
  <c r="E110" i="4"/>
  <c r="P110" i="4" s="1"/>
  <c r="O110" i="4"/>
  <c r="P118" i="4"/>
  <c r="P132" i="4"/>
  <c r="P133" i="4"/>
  <c r="I135" i="4"/>
  <c r="I144" i="4" s="1"/>
  <c r="E85" i="4"/>
  <c r="J13" i="4"/>
  <c r="J12" i="4" s="1"/>
  <c r="J135" i="4" s="1"/>
  <c r="E20" i="11" s="1"/>
  <c r="F20" i="11" s="1"/>
  <c r="R114" i="8"/>
  <c r="R116" i="8" s="1"/>
  <c r="G144" i="4"/>
  <c r="G150" i="4"/>
  <c r="D67" i="2"/>
  <c r="D34" i="2"/>
  <c r="C34" i="2" s="1"/>
  <c r="E58" i="3"/>
  <c r="E101" i="3" s="1"/>
  <c r="E116" i="3" s="1"/>
  <c r="D59" i="3"/>
  <c r="C59" i="3" s="1"/>
  <c r="D26" i="3"/>
  <c r="C26" i="3" s="1"/>
  <c r="C81" i="3"/>
  <c r="C82" i="3"/>
  <c r="D58" i="3"/>
  <c r="C58" i="3" s="1"/>
  <c r="D34" i="3"/>
  <c r="C34" i="3" s="1"/>
  <c r="D21" i="3"/>
  <c r="C21" i="3" s="1"/>
  <c r="F116" i="3"/>
  <c r="D53" i="3"/>
  <c r="C53" i="3" s="1"/>
  <c r="D103" i="3"/>
  <c r="H10" i="7"/>
  <c r="K10" i="7"/>
  <c r="P12" i="4"/>
  <c r="R12" i="4"/>
  <c r="S12" i="4"/>
  <c r="S13" i="4"/>
  <c r="P34" i="4"/>
  <c r="E23" i="6"/>
  <c r="S36" i="4"/>
  <c r="S73" i="4"/>
  <c r="S86" i="4"/>
  <c r="S110" i="4"/>
  <c r="S118" i="4"/>
  <c r="R118" i="4"/>
  <c r="I122" i="7"/>
  <c r="J122" i="7"/>
  <c r="M83" i="7"/>
  <c r="K122" i="7"/>
  <c r="O109" i="4" l="1"/>
  <c r="S109" i="4" s="1"/>
  <c r="R110" i="4"/>
  <c r="R72" i="4"/>
  <c r="S85" i="4"/>
  <c r="S72" i="4"/>
  <c r="P13" i="4"/>
  <c r="E17" i="11"/>
  <c r="E12" i="11" s="1"/>
  <c r="O135" i="4"/>
  <c r="S135" i="4" s="1"/>
  <c r="S127" i="4" s="1"/>
  <c r="J144" i="4"/>
  <c r="E32" i="11"/>
  <c r="E29" i="11" s="1"/>
  <c r="E28" i="11" s="1"/>
  <c r="P85" i="4"/>
  <c r="R85" i="4" s="1"/>
  <c r="P127" i="4"/>
  <c r="P109" i="4"/>
  <c r="R109" i="4" s="1"/>
  <c r="R35" i="4"/>
  <c r="E135" i="4"/>
  <c r="E144" i="4" s="1"/>
  <c r="D20" i="11"/>
  <c r="D17" i="11" s="1"/>
  <c r="D12" i="11" s="1"/>
  <c r="F32" i="11"/>
  <c r="G20" i="11"/>
  <c r="F17" i="11"/>
  <c r="F12" i="11" s="1"/>
  <c r="Q12" i="9"/>
  <c r="D58" i="2"/>
  <c r="C58" i="2" s="1"/>
  <c r="C67" i="2"/>
  <c r="D102" i="3"/>
  <c r="C102" i="3" s="1"/>
  <c r="C103" i="3"/>
  <c r="M122" i="7"/>
  <c r="M124" i="7" s="1"/>
  <c r="H122" i="7"/>
  <c r="E18" i="6"/>
  <c r="O144" i="4"/>
  <c r="K144" i="4"/>
  <c r="E148" i="4" l="1"/>
  <c r="P135" i="4"/>
  <c r="P144" i="4" s="1"/>
  <c r="R135" i="4"/>
  <c r="G32" i="11"/>
  <c r="G29" i="11" s="1"/>
  <c r="G28" i="11" s="1"/>
  <c r="G17" i="11"/>
  <c r="G12" i="11" s="1"/>
  <c r="F29" i="11"/>
  <c r="F28" i="11" s="1"/>
  <c r="D32" i="11"/>
  <c r="D29" i="11" s="1"/>
  <c r="D28" i="11" s="1"/>
  <c r="C15" i="3"/>
  <c r="D13" i="3"/>
  <c r="C13" i="3" l="1"/>
  <c r="D12" i="3"/>
  <c r="C16" i="2"/>
  <c r="D14" i="2"/>
  <c r="C14" i="2" l="1"/>
  <c r="D13" i="2"/>
  <c r="C12" i="3"/>
  <c r="D11" i="3"/>
  <c r="D101" i="3" l="1"/>
  <c r="C11" i="3"/>
  <c r="C13" i="2"/>
  <c r="D12" i="2"/>
  <c r="D99" i="2" l="1"/>
  <c r="C12" i="2"/>
  <c r="D116" i="3"/>
  <c r="C116" i="3" s="1"/>
  <c r="Q135" i="4" s="1"/>
  <c r="Q137" i="9" s="1"/>
  <c r="C101" i="3"/>
  <c r="D114" i="2" l="1"/>
  <c r="C99" i="2"/>
  <c r="C114" i="2" l="1"/>
  <c r="D121" i="2"/>
</calcChain>
</file>

<file path=xl/sharedStrings.xml><?xml version="1.0" encoding="utf-8"?>
<sst xmlns="http://schemas.openxmlformats.org/spreadsheetml/2006/main" count="3423" uniqueCount="828">
  <si>
    <t xml:space="preserve">ДОХОДИ </t>
  </si>
  <si>
    <t xml:space="preserve"> бюджету Мукачівської міської територіальної громади на  2022 рік </t>
  </si>
  <si>
    <t>додаток 1 до рішення 19 -ї позачергової сесії  Мукачівської міської ради 8-го скликання                      
від  17  грудня  2021  року № 701 "Про бюджет Мукачівської міської територіальної громади на 2022 рік"                   
 (нова редакція)</t>
  </si>
  <si>
    <t>07507000000</t>
  </si>
  <si>
    <t>(код бюджету)</t>
  </si>
  <si>
    <t>(грн.)</t>
  </si>
  <si>
    <t>Код</t>
  </si>
  <si>
    <t>Найменування згідно з Класифікацією доходів бюджету</t>
  </si>
  <si>
    <t>Усього</t>
  </si>
  <si>
    <t>Загальний  фонд</t>
  </si>
  <si>
    <t>Спеціальний фонд</t>
  </si>
  <si>
    <t>усього</t>
  </si>
  <si>
    <t>у тому числі бюджет розвитку</t>
  </si>
  <si>
    <t>Податкові надходження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</si>
  <si>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</si>
  <si>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</si>
  <si>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</si>
  <si>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</si>
  <si>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</si>
  <si>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</si>
  <si>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</si>
  <si>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 xml:space="preserve">Податок на прибуток підприємств та фінансових установ комунальної власності 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</si>
  <si>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</si>
  <si>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</si>
  <si>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</si>
  <si>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</si>
  <si>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</si>
  <si>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</si>
  <si>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</si>
  <si>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</si>
  <si>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</si>
  <si>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 xml:space="preserve">Акцизний податок з реалізації суб'єктами господарювання роздрібної торгівлі підакцизних товарів 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</si>
  <si>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</si>
  <si>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Місцеві податки та збори, що сплачуються (перераховуються) згідно з Податковим кодексом України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</si>
  <si>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</si>
  <si>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</si>
  <si>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</si>
  <si>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</si>
  <si>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</si>
  <si>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</si>
  <si>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</si>
  <si>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</si>
  <si>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</si>
  <si>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</si>
  <si>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</si>
  <si>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</si>
  <si>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</si>
  <si>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</si>
  <si>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</si>
  <si>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</si>
  <si>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</si>
  <si>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відсотків"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</si>
  <si>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</si>
  <si>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</si>
  <si>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</si>
  <si>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</si>
  <si>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</si>
  <si>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</t>
  </si>
  <si>
    <t>Доходи від  власності та підприємницької діяльності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</si>
  <si>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</si>
  <si>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</si>
  <si>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надходження</t>
  </si>
  <si>
    <t>Адміністративні штрафи та інші санкції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</si>
  <si>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</si>
  <si>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Плата за встановлення земельного сервітуту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</si>
  <si>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</si>
  <si>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</si>
  <si>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</si>
  <si>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</si>
  <si>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</si>
  <si>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 xml:space="preserve">Адміністративний збір за державну реєстрацію речових прав на нерухоме майно та їх обтяжень 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</si>
  <si>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</si>
  <si>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</si>
  <si>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 майновим комплексом та іншим майном, що перебуває в комунальній власності </t>
  </si>
  <si>
    <t>Державне мито</t>
  </si>
  <si>
    <t xml:space="preserve">Державне мито, що сплачується за місцем розгляду та оформлення документів, у тому числі за оформлення документів на спадщину і дарування  </t>
  </si>
  <si>
    <t xml:space="preserve">Державне мито, пов'язане з видачею та оформленням закордонних паспортів (посвідок) та паспортів громадян України  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</si>
  <si>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 </t>
  </si>
  <si>
    <t>Інші неподаткові надходження  </t>
  </si>
  <si>
    <t>Інші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</si>
  <si>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</si>
  <si>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</si>
  <si>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</si>
  <si>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</si>
  <si>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 xml:space="preserve">Надходження від плати за послуги, що надаються бюджетними установами згідно із законодавством </t>
  </si>
  <si>
    <t xml:space="preserve">Плата за послуги, що надаються бюджетними установами згідно з їх основною діяльністю 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</si>
  <si>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</si>
  <si>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 бюджетних установ від реалізації в установленому порядку майна (крім нерухомого майна)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</si>
  <si>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</si>
  <si>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</si>
  <si>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</si>
  <si>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</si>
  <si>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</si>
  <si>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</si>
  <si>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</si>
  <si>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</si>
  <si>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 </t>
  </si>
  <si>
    <t>Усього доходів (без врахування міжбюджетних трансфертів)</t>
  </si>
  <si>
    <t>Офіційні трансферти  </t>
  </si>
  <si>
    <t>Від органів державного управління  </t>
  </si>
  <si>
    <t>Субвенції  з державного бюджету місцевим бюджетам</t>
  </si>
  <si>
    <t>Субвенція з державного бюджету місцевим бюджетам на реалізацію програми `Спроможна школа для кращих результатів`</t>
  </si>
  <si>
    <t>Освітня субвенція з державного бюджету місцевим бюджетам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</si>
  <si>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</si>
  <si>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</si>
  <si>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Субвенції  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</si>
  <si>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</si>
  <si>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</si>
  <si>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Інші субвенції з місцевого бюджету</t>
  </si>
  <si>
    <t>Разом доходів</t>
  </si>
  <si>
    <t>(пункт 1)</t>
  </si>
  <si>
    <t>Зміни до доходів</t>
  </si>
  <si>
    <t xml:space="preserve"> бюджету Мукачівської міської  територіальної громади на  2022 рік 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</si>
  <si>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</si>
  <si>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</si>
  <si>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</si>
  <si>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 xml:space="preserve">Надходження від викидів забруднюючих речовин в атмосферне повітря стаціонарними джерелами забруднення </t>
  </si>
  <si>
    <t xml:space="preserve">Надходження від скидів забруднюючих речовин безпосередньо у водні об'єкти </t>
  </si>
  <si>
    <t xml:space="preserve"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 </t>
  </si>
  <si>
    <t>Плата за розміщення тимчасово вільних коштів місцевих бюджетів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</si>
  <si>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</si>
  <si>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 xml:space="preserve">Плата за оренду майна бюджетних установ  </t>
  </si>
  <si>
    <t>Субвенція з місцевого бюджету на виплату грошової компенсації за належні для отримання жилі  приміщення для сімей осіб, визначених абзацами 5 - 8 пункту 1 статті 10 Закону України `Про статус ветеранів війни, гарантії їх соціального захисту`, для осіб з інвалідністю I - II групи, яка настала  внаслідок поранення, контузії, каліцтва або захворювання, одержаних під час безпосередньої участі в  антитерористичній операції, забезпеченні її проведення, дійсненні заходів із забезпечення  національної безпеки і оборони, відсічі і стримування збройної агресії Російської Федерації у Донецькій  та Луганській областях, забезпеченні їх здійснення, визначених пунктами 11 - 14 частини другої  статті 7 Закону України `Про статус ветеранів війни, гарантії їх соціального захисту`, та які  потребують поліпшення житлових умов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</si>
  <si>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</si>
  <si>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</si>
  <si>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</si>
  <si>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(пункт 2)</t>
  </si>
  <si>
    <t>РОЗПОДІЛ</t>
  </si>
  <si>
    <t xml:space="preserve"> видатків  бюджету Мукачівської міської територіальної громади  на 2022 рік </t>
  </si>
  <si>
    <t>грн.</t>
  </si>
  <si>
    <t>Код
Програмної
класифікації
видатків та
кредитування
місцевого
бюджету</t>
  </si>
  <si>
    <t>Код Типової
програмної
класифікації
видатків та
кредиту-
вання
місцевого
бюджету</t>
  </si>
  <si>
    <t>Код Функціональ-
ної
класифікації видатків
та кредитування
бюджету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</si>
  <si>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</si>
  <si>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</si>
  <si>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Разом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</si>
  <si>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</si>
  <si>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</si>
  <si>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</si>
  <si>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</si>
  <si>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</si>
  <si>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0200000</t>
  </si>
  <si>
    <t>02</t>
  </si>
  <si>
    <t>Виконавчий комітет Мукачівської міської ради (головний розпорядник)</t>
  </si>
  <si>
    <t>0210000</t>
  </si>
  <si>
    <t>Виконавчий комітет Мукачівської міської ради  (відповідальний виконавець)</t>
  </si>
  <si>
    <t>0210160</t>
  </si>
  <si>
    <t>0160</t>
  </si>
  <si>
    <t>0111</t>
  </si>
  <si>
    <t>Керівництво і управління у відповідній сфері у
містах (місті Києві), селищах, селах,
територіальних громадах</t>
  </si>
  <si>
    <t>0210180</t>
  </si>
  <si>
    <t>0180</t>
  </si>
  <si>
    <t>0133</t>
  </si>
  <si>
    <t>Інша діяльність у сфері державного управління</t>
  </si>
  <si>
    <t>0212010</t>
  </si>
  <si>
    <t>2010</t>
  </si>
  <si>
    <t>0731</t>
  </si>
  <si>
    <t>Багатопрофільна  стаціонарна  медична допомога населенню</t>
  </si>
  <si>
    <t>дотація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</si>
  <si>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</si>
  <si>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</si>
  <si>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</si>
  <si>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</si>
  <si>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</si>
  <si>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</si>
  <si>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</si>
  <si>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</si>
  <si>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субвенція  на здійснення підтримки окремих закладів та заходів у системі охорони здоров’я за рахунок відповідної субвенції з державного бюджету 
(на лікування хворих на цукровий діабет інсуліном та нецукровий діабет десмопресином)</t>
  </si>
  <si>
    <t>0212152</t>
  </si>
  <si>
    <t>2152</t>
  </si>
  <si>
    <t>Інші  програми та заходи у сфері охорони здоров’я</t>
  </si>
  <si>
    <t>0213112</t>
  </si>
  <si>
    <t>3112</t>
  </si>
  <si>
    <t>1040</t>
  </si>
  <si>
    <t>Заходи державної політики з питань дітей та їх соціального захисту</t>
  </si>
  <si>
    <t>0213210</t>
  </si>
  <si>
    <t>3210</t>
  </si>
  <si>
    <t>1050</t>
  </si>
  <si>
    <t>Організація та проведення громадських робіт</t>
  </si>
  <si>
    <t>0213242</t>
  </si>
  <si>
    <t>3242</t>
  </si>
  <si>
    <t xml:space="preserve"> 1090</t>
  </si>
  <si>
    <t>Інші заходи у сфері соціального захисту і соціального забезпечення</t>
  </si>
  <si>
    <t>0217390</t>
  </si>
  <si>
    <t>7390</t>
  </si>
  <si>
    <t>0490</t>
  </si>
  <si>
    <t>Розвиток мережі центрів надання адміністративних послуг</t>
  </si>
  <si>
    <t>0217622</t>
  </si>
  <si>
    <t>7622</t>
  </si>
  <si>
    <t>0470</t>
  </si>
  <si>
    <t>Реалізація програм і заходів в галузі туризму та курортів</t>
  </si>
  <si>
    <t>0217680</t>
  </si>
  <si>
    <t>7680</t>
  </si>
  <si>
    <t>Членські внески до асоціацій органів місцевого самоврядування</t>
  </si>
  <si>
    <t>0217691</t>
  </si>
  <si>
    <t>7691</t>
  </si>
  <si>
    <t>Виконання заходів за рахунок цільових  фондів, 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</si>
  <si>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0217693</t>
  </si>
  <si>
    <t>7693</t>
  </si>
  <si>
    <t>Інші заходи, пов'язані з економічною діяльністю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</si>
  <si>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</si>
  <si>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</si>
  <si>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</si>
  <si>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</si>
  <si>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0218240</t>
  </si>
  <si>
    <t>Заходи та роботи з територіальної оборони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</si>
  <si>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</si>
  <si>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</si>
  <si>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</si>
  <si>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0600000</t>
  </si>
  <si>
    <t>06</t>
  </si>
  <si>
    <t>Управління освіти, культури, молоді та спорту  Мукачівської міської ради  (головний розпорядник)</t>
  </si>
  <si>
    <t>0610000</t>
  </si>
  <si>
    <t>Управління освіти, культури,  молоді та спорту Мукачівської міської ради  (відповідальний виконавець)</t>
  </si>
  <si>
    <t>0610160</t>
  </si>
  <si>
    <t>Керівництво і управління у відповідній сфері у
містах (місті Києві), селищах, селах, 
територіальних громадах</t>
  </si>
  <si>
    <t xml:space="preserve">0611010 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</si>
  <si>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</si>
  <si>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</si>
  <si>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</si>
  <si>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</si>
  <si>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</si>
  <si>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</si>
  <si>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</si>
  <si>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</si>
  <si>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</si>
  <si>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Надання загальної середньої освіти закладами загальної середньої освіти, з них:</t>
  </si>
  <si>
    <t>здійснення переданих видатків у сфері освіти за рахунок коштів освітньої субвенції (oплата праці з нарахуваннями педагогічних працівників загальноосвітніх навчальних закладів приватної форми власності )</t>
  </si>
  <si>
    <t>0611061</t>
  </si>
  <si>
    <t>1061</t>
  </si>
  <si>
    <t>освітня субвенція з бюджету</t>
  </si>
  <si>
    <t>освітня субвенція з бюджету  Іршавського району</t>
  </si>
  <si>
    <t>освітня субвенція з бюджету Мукачівського району</t>
  </si>
  <si>
    <t>0611070</t>
  </si>
  <si>
    <t>1070</t>
  </si>
  <si>
    <t>0960</t>
  </si>
  <si>
    <t xml:space="preserve">Надання позашкільної освіти закладами позашкільної освіти, заходи із позашкільної роботи з дітьми </t>
  </si>
  <si>
    <t>0611080</t>
  </si>
  <si>
    <t>1080</t>
  </si>
  <si>
    <t>Надання спеціальної освіти мистецькими школами</t>
  </si>
  <si>
    <t>0611130</t>
  </si>
  <si>
    <t>1130</t>
  </si>
  <si>
    <t>0990</t>
  </si>
  <si>
    <t>Методичне  забезпечення діяльності закладів  освіти</t>
  </si>
  <si>
    <t>0611141</t>
  </si>
  <si>
    <t>1141</t>
  </si>
  <si>
    <t>Забезпечення діяльності інших закладів у сфері освіти</t>
  </si>
  <si>
    <t>0611142</t>
  </si>
  <si>
    <t>1142</t>
  </si>
  <si>
    <t>Інші програми та заходи у сфері освіти</t>
  </si>
  <si>
    <t>0611151</t>
  </si>
  <si>
    <t>1151</t>
  </si>
  <si>
    <t>Забезпечення діяльності інклюзивно-ресурсних центрів за рахунок коштів місцевого бюджету</t>
  </si>
  <si>
    <t>0611152</t>
  </si>
  <si>
    <t>1152</t>
  </si>
  <si>
    <t>Забезпечення діяльності інклюзивно-ресурсних центрів за рахунок освітньої субвенції</t>
  </si>
  <si>
    <t>0611160</t>
  </si>
  <si>
    <t>1160</t>
  </si>
  <si>
    <t>Забезпечення діяльності центрів професійного розвитку педагогічних працівників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</si>
  <si>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</si>
  <si>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</si>
  <si>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"Нова українська школа", з них:</t>
  </si>
  <si>
    <t>Засоби навчання та обладнання (крім комп’ютерного) для учнів початкових класів, що навчаються за новими методи-ками відповідно до Концепції „Нова українська школа”</t>
  </si>
  <si>
    <t>Сучасні меблі для початкових класів нової української школи</t>
  </si>
  <si>
    <t>Комп’ютерне обладнання для початкових класів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</si>
  <si>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</si>
  <si>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</si>
  <si>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бюджетам, з них:</t>
  </si>
  <si>
    <t>Проведення супервізізії</t>
  </si>
  <si>
    <t>0611200</t>
  </si>
  <si>
    <t>1200</t>
  </si>
  <si>
    <t xml:space="preserve">Надання освіти за рахунок субвенції з державного бюджету місцевим бюджетам на надання  державної підтримки особам з особливими освітніми потребами </t>
  </si>
  <si>
    <t>0613131</t>
  </si>
  <si>
    <t>3131</t>
  </si>
  <si>
    <t>Здійснення заходів та реалізація проектів на виконання Державної цільової соціальної програми "Молодь України"</t>
  </si>
  <si>
    <t>0613140</t>
  </si>
  <si>
    <t>3140</t>
  </si>
  <si>
    <t>Оздоровлення та відпочинк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</si>
  <si>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0614010</t>
  </si>
  <si>
    <t>4010</t>
  </si>
  <si>
    <t>0821</t>
  </si>
  <si>
    <t>Фінансова підтримка театрів</t>
  </si>
  <si>
    <t>0614030</t>
  </si>
  <si>
    <t>4030</t>
  </si>
  <si>
    <t>0824</t>
  </si>
  <si>
    <t>Забезпечення діяльності бібліотек</t>
  </si>
  <si>
    <t>0614060</t>
  </si>
  <si>
    <t>4060</t>
  </si>
  <si>
    <t>0828</t>
  </si>
  <si>
    <t>Забезпечення діяльності палаців і будинків культури, клубів, центрів дозвілля  та інших клубних закладів</t>
  </si>
  <si>
    <t>0614082</t>
  </si>
  <si>
    <t>4082</t>
  </si>
  <si>
    <t>0829</t>
  </si>
  <si>
    <t>Інші заходи в галузі культури і мистецтва</t>
  </si>
  <si>
    <t>0615011</t>
  </si>
  <si>
    <t>5011</t>
  </si>
  <si>
    <t>0810</t>
  </si>
  <si>
    <t>Проведення навчально-тренувальних зборів і змагань з олімпійських видів спорту</t>
  </si>
  <si>
    <t>0615012</t>
  </si>
  <si>
    <t>5012</t>
  </si>
  <si>
    <t>Проведення навчально-тренувальних зборів і змагань з неолімпійських видів спорту</t>
  </si>
  <si>
    <t>0615031</t>
  </si>
  <si>
    <t>5031</t>
  </si>
  <si>
    <t>Утримання та навчально-тренувальна робота комунальних дитячо-юнацьких спортивних  шкіл</t>
  </si>
  <si>
    <t>0615062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</si>
  <si>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</si>
  <si>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</si>
  <si>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0800000</t>
  </si>
  <si>
    <t>08</t>
  </si>
  <si>
    <t>Управління соціального захисту населення  Мукачівської міської ради  (головний розпорядник)</t>
  </si>
  <si>
    <t>0810000</t>
  </si>
  <si>
    <t>Управління  соціального захисту населення Мукачівської міської ради (відповідальний виконавець)</t>
  </si>
  <si>
    <t>0810160</t>
  </si>
  <si>
    <t>0810180</t>
  </si>
  <si>
    <t>0813032</t>
  </si>
  <si>
    <t>3032</t>
  </si>
  <si>
    <t>Надання пільг окремим категоріям громадян з оплати послуг зв'язку</t>
  </si>
  <si>
    <t>0813033</t>
  </si>
  <si>
    <t>3033</t>
  </si>
  <si>
    <t xml:space="preserve">Компенсаційні виплати на пільговий проїзд автомобільним транспортом окремим категоріям громадян </t>
  </si>
  <si>
    <t>0813035</t>
  </si>
  <si>
    <t>3035</t>
  </si>
  <si>
    <t>Компенсаційні виплати за  пільговий проїзд  окремих категорій громадян на залізничному транспорті</t>
  </si>
  <si>
    <t>0813104</t>
  </si>
  <si>
    <t>3104</t>
  </si>
  <si>
    <t>1020</t>
  </si>
  <si>
    <t>Забезпечення соціальними  послугами  за  місцем проживання громадян,  які не здатні  до  самообслуговування у зв’язку з похилим віком, хворобою, інвалідністю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</si>
  <si>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</si>
  <si>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</si>
  <si>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</si>
  <si>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0813210</t>
  </si>
  <si>
    <t>0813230</t>
  </si>
  <si>
    <t>3230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</si>
  <si>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</si>
  <si>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0813242</t>
  </si>
  <si>
    <t>1090</t>
  </si>
  <si>
    <t>0817691</t>
  </si>
  <si>
    <t>1200000</t>
  </si>
  <si>
    <t>12</t>
  </si>
  <si>
    <t>Управління міського господарства  Мукачівської міської ради  (головний розпорядник)</t>
  </si>
  <si>
    <t>1210000</t>
  </si>
  <si>
    <t>Управління міського господарства Мукачівської міської ради  (відповідальний виконавець)</t>
  </si>
  <si>
    <t>1210160</t>
  </si>
  <si>
    <t>1210180</t>
  </si>
  <si>
    <t>1213210</t>
  </si>
  <si>
    <t>1216013</t>
  </si>
  <si>
    <t>6013</t>
  </si>
  <si>
    <t>0620</t>
  </si>
  <si>
    <t>Забезпечення діяльності водопровідно-каналізаційного господарства</t>
  </si>
  <si>
    <t>1216015</t>
  </si>
  <si>
    <t>6015</t>
  </si>
  <si>
    <t>Забезпечення надійної та безперебійної експлуатації ліфтів</t>
  </si>
  <si>
    <t>1216017</t>
  </si>
  <si>
    <t>6017</t>
  </si>
  <si>
    <t>Інша діяльність, пов'язана з експлуатацією об'єктів житлово-комунального господарства</t>
  </si>
  <si>
    <t>1216030</t>
  </si>
  <si>
    <t>6030</t>
  </si>
  <si>
    <t>Організація благоустрою населених пунктів</t>
  </si>
  <si>
    <t>1216071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</si>
  <si>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</si>
  <si>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</si>
  <si>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</si>
  <si>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1216090</t>
  </si>
  <si>
    <t>6090</t>
  </si>
  <si>
    <t>Інша діяльність у сфері житлово-комунального господарства</t>
  </si>
  <si>
    <t>1217130</t>
  </si>
  <si>
    <t>7130</t>
  </si>
  <si>
    <t>0421</t>
  </si>
  <si>
    <t>Здіснення заходів із землеустрою</t>
  </si>
  <si>
    <t>1217310</t>
  </si>
  <si>
    <t>7310</t>
  </si>
  <si>
    <t>0443</t>
  </si>
  <si>
    <t>Будівництво об'єктів житлово-комунального господарства</t>
  </si>
  <si>
    <t>1217330</t>
  </si>
  <si>
    <t>7330</t>
  </si>
  <si>
    <t>Будівництво  інших об'єктів  комунальної власності</t>
  </si>
  <si>
    <t>1217350</t>
  </si>
  <si>
    <t>7350</t>
  </si>
  <si>
    <t>Розроблення схем планування та забудови територій (містобудівної документації)</t>
  </si>
  <si>
    <t>1217461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</si>
  <si>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</si>
  <si>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</si>
  <si>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</si>
  <si>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1217640</t>
  </si>
  <si>
    <t>7640</t>
  </si>
  <si>
    <t>Заходи з енергозбереження</t>
  </si>
  <si>
    <t>1217650</t>
  </si>
  <si>
    <t>7650</t>
  </si>
  <si>
    <t>Проведення експертної  грошової  оцінки  земельної ділянки чи права на неї</t>
  </si>
  <si>
    <t>1217693</t>
  </si>
  <si>
    <t>1217670</t>
  </si>
  <si>
    <t>7670</t>
  </si>
  <si>
    <t>Внески до статутного капіталу суб'єктів господарювання</t>
  </si>
  <si>
    <t>1218110</t>
  </si>
  <si>
    <t>1218311</t>
  </si>
  <si>
    <t>0511</t>
  </si>
  <si>
    <t>Охорона та раціональне використання природних ресурсів</t>
  </si>
  <si>
    <t>1218340</t>
  </si>
  <si>
    <t>8340</t>
  </si>
  <si>
    <t>0540</t>
  </si>
  <si>
    <t>Природоохоронні заходи за рахунок цільових фондів</t>
  </si>
  <si>
    <t>1217691</t>
  </si>
  <si>
    <t>1500000</t>
  </si>
  <si>
    <t>15</t>
  </si>
  <si>
    <t>Управління будівництва та інфраструктури Мукачівської міської ради  (головний розпорядник)</t>
  </si>
  <si>
    <t>1510000</t>
  </si>
  <si>
    <t>Управління будівництва та інфраструктури Мукачівської міської ради  (відповідальний виконавець)</t>
  </si>
  <si>
    <t>1510160</t>
  </si>
  <si>
    <t>1511021</t>
  </si>
  <si>
    <t>1512111</t>
  </si>
  <si>
    <t>1171</t>
  </si>
  <si>
    <t>Співфінансування заходів, що реалізуються за рахунок субвенції з державного бюджету місцевим бюджетам на реалізацію програми "Спроможна школа для кращих результатів"</t>
  </si>
  <si>
    <t>1516030</t>
  </si>
  <si>
    <t>1517310</t>
  </si>
  <si>
    <t>1517321</t>
  </si>
  <si>
    <t>7321</t>
  </si>
  <si>
    <t>Будівництво освітніх установ та закладів</t>
  </si>
  <si>
    <t>1517322</t>
  </si>
  <si>
    <t>7322</t>
  </si>
  <si>
    <t>Будівництво медичних  установ та закладів</t>
  </si>
  <si>
    <t>1517324</t>
  </si>
  <si>
    <t>7324</t>
  </si>
  <si>
    <t>Будівництво установ та закладів культури</t>
  </si>
  <si>
    <t>1517325</t>
  </si>
  <si>
    <t>7325</t>
  </si>
  <si>
    <t>Будівництво споруд, установ та закладів фізичної культури і спорту</t>
  </si>
  <si>
    <t>1517330</t>
  </si>
  <si>
    <t>Будівництво інших об'єктів комунальної власності</t>
  </si>
  <si>
    <t>1517340</t>
  </si>
  <si>
    <t>7340</t>
  </si>
  <si>
    <t>Проектування, реставрація та охорона пам'яток архітектури</t>
  </si>
  <si>
    <t>1517441</t>
  </si>
  <si>
    <t>7441</t>
  </si>
  <si>
    <t>Утримання та розвиток мостів/шляхопроводів</t>
  </si>
  <si>
    <t>1517461</t>
  </si>
  <si>
    <t>1517463</t>
  </si>
  <si>
    <t>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</si>
  <si>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</si>
  <si>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3700000</t>
  </si>
  <si>
    <t>37</t>
  </si>
  <si>
    <t>Фінансове управління   Мукачівської міської ради  (головний розпорядник)</t>
  </si>
  <si>
    <t>3710000</t>
  </si>
  <si>
    <t>Фінансове управління   Мукачівської міської ради (відповідальний виконавець)</t>
  </si>
  <si>
    <t>3710160</t>
  </si>
  <si>
    <t>3717691</t>
  </si>
  <si>
    <t>3718600</t>
  </si>
  <si>
    <t>8600</t>
  </si>
  <si>
    <t>0170</t>
  </si>
  <si>
    <t>Обслуговування місцевого боргу</t>
  </si>
  <si>
    <t>3718710</t>
  </si>
  <si>
    <t>8710</t>
  </si>
  <si>
    <t>Резервний фонд місцевого бюджету</t>
  </si>
  <si>
    <t>3719110</t>
  </si>
  <si>
    <t>9110</t>
  </si>
  <si>
    <t>Реверсна дотація</t>
  </si>
  <si>
    <t>3719770</t>
  </si>
  <si>
    <t>9770</t>
  </si>
  <si>
    <t>Разом видатків</t>
  </si>
  <si>
    <t>(пункт 3)</t>
  </si>
  <si>
    <t>Зміни до фінансування бюджету Мукачівської міської територіальної громади на 2022 рік</t>
  </si>
  <si>
    <t>Найменування згідно з
Класифікацією фінансування
бюджету</t>
  </si>
  <si>
    <t>у тому числі
бюджет
розвитку</t>
  </si>
  <si>
    <t>Внутрішнє фінансування </t>
  </si>
  <si>
    <t>Фінансуванням за рахунок позик банківських установ</t>
  </si>
  <si>
    <t>Фінансування за рахунок інших банків</t>
  </si>
  <si>
    <t>Одержано позик</t>
  </si>
  <si>
    <t>Погашено позик</t>
  </si>
  <si>
    <t xml:space="preserve">Фінансування за рахунок зміни залишків коштів бюджетів </t>
  </si>
  <si>
    <t xml:space="preserve">На початок періоду </t>
  </si>
  <si>
    <t>На кінець періоду</t>
  </si>
  <si>
    <t>Кошти, шо передаються із загального фонду бюджету до бюджету розвитку (спеціального фонду)</t>
  </si>
  <si>
    <t>,</t>
  </si>
  <si>
    <t xml:space="preserve">Фінансування за борговими операціями </t>
  </si>
  <si>
    <t>Запозичення</t>
  </si>
  <si>
    <t xml:space="preserve">Внутрішні запозичення </t>
  </si>
  <si>
    <t xml:space="preserve">Середньострокові зобов'язання </t>
  </si>
  <si>
    <t>Погашення</t>
  </si>
  <si>
    <t>Внутрішні зобов’язання</t>
  </si>
  <si>
    <t>Фінансування за актиними операціями</t>
  </si>
  <si>
    <t>Зміни обсягів готівкових коштів</t>
  </si>
  <si>
    <t>На початок року</t>
  </si>
  <si>
    <t>(пункт 5)</t>
  </si>
  <si>
    <t>Зміни до міжбюджетних трансфертів на 2022 рік</t>
  </si>
  <si>
    <t xml:space="preserve">      2. Показники міжбюджетних трансфертів іншим бюджетам</t>
  </si>
  <si>
    <t>(грн)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</si>
  <si>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</si>
  <si>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</si>
  <si>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</si>
  <si>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</si>
  <si>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99000000000</t>
  </si>
  <si>
    <t>Державний бюджет</t>
  </si>
  <si>
    <t>0219820</t>
  </si>
  <si>
    <t>9820</t>
  </si>
  <si>
    <t>Субвенція з місцевого бюджету державному бюджету на перерахування коштів в умовах воєнного стану або для здійснення згідно із законодавством заходів загальної мобілізації та з метою відсічі збройної агресії Російської Федерації проти України та забезпечення національної безпеки, усунення загрози небезпеки державній незалежності України, її територіальній цілісності</t>
  </si>
  <si>
    <t>ІІ. Трансферти із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</si>
  <si>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</si>
  <si>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</si>
  <si>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</si>
  <si>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</si>
  <si>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>(пункт 6)</t>
  </si>
  <si>
    <t>Зміни до розподілу витрат бюджету Мукачівської міської територіальної громади на реалізацію місцевих /регіональних  програм у 2022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</si>
  <si>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</si>
  <si>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</si>
  <si>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</si>
  <si>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</si>
  <si>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</si>
  <si>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</si>
  <si>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Програма забезпечення організаційної діяльності міської ради та виконавчого комітету  на 2022-2024 роки</t>
  </si>
  <si>
    <t>Програма висвітлення діяльності, інформаційного забезпечення Мукачівської міської ради та її виконавчих органів на 2022-2024 роки</t>
  </si>
  <si>
    <t>Рішення сесії ММР  № 519 від 30.09.2021 р.</t>
  </si>
  <si>
    <t>Програма безоплатного та пільгового відпуску лікарських засобів у разі амбулаторного лікування окремих груп населення та за певними категоріями захворювань мешканцям Мукачівської міської територіальної громади на 2022-2024 роки</t>
  </si>
  <si>
    <t>Рішення сесії ММР  № 680 від 17.12.2021 р.</t>
  </si>
  <si>
    <t>Програма розвитку та підтримки комунальних закладів охорони здоров’я Мукачівської міської територіальної громади на 2022-2024 роки</t>
  </si>
  <si>
    <t>Рішення сесії ММР  № 681 від 17.12.2021 р. (зі змінами)</t>
  </si>
  <si>
    <t xml:space="preserve">Програма організації громадських оплачувальних робіт для молоді у вільний від навчання час на 2022-2024 роки </t>
  </si>
  <si>
    <t>Рішення сесії ММР  № 486 від 26.08.2021 р.</t>
  </si>
  <si>
    <t>Програма зайнятості населення Мукачівської міської  територіальної громади на 2022 -2024 роки</t>
  </si>
  <si>
    <t>Рішення сесії ММР  № 608 від 25.11.2021 р.</t>
  </si>
  <si>
    <t>Програма виплати винагороди Почесним громадянам міста Мукачева на 2022-2024 роки</t>
  </si>
  <si>
    <t>Рішення  сесії  ММР № 518 від 30.09.2021р.</t>
  </si>
  <si>
    <t>Програма розвитку туристичної галузі Мукачівської міської територіальної громади на 2022-2024 роки</t>
  </si>
  <si>
    <t>Рішення сесії ММР  № 683 від 17.12.2021 р.</t>
  </si>
  <si>
    <t>Програма забезпечення членства Мукачівської міської ради в Асоціаціях на 2022-2024 роки</t>
  </si>
  <si>
    <t>Рішення сесії ММР  №482 від  26.08.2021 р.</t>
  </si>
  <si>
    <t>Програма розвитку економічної, міжнародної та інвестиційної  діяльності Мукачівської міської  територіальної громади  на 2022 - 2024 роки</t>
  </si>
  <si>
    <t>Рішення сесії ММР  № 682 від 17.12.2021 р.</t>
  </si>
  <si>
    <t>Програма удосконалення цивільного захисту та оборонної роботи  Мукачівської міської територіальної громади на 2022-2024 роки в новій редакції</t>
  </si>
  <si>
    <t>Рішення Виконавчого комітету ММР № 118 від 01.04.2022 р.</t>
  </si>
  <si>
    <t>Програма фінансування матеріального резерву Мукачівської міської територіальної громади для забезпечення заходів із запобігання і ліквідації наслідків надзвичайних ситуацій та на період воєнного стану</t>
  </si>
  <si>
    <t>Рішення Виконавчого комітету ММР №112 від 01.04.2022 р.</t>
  </si>
  <si>
    <t>Програма забезпечення військових формувань Мукачівської міської територіальної громади для виконання оборонних заходів на період воєнного стану в новій редакції</t>
  </si>
  <si>
    <t>Програма забезпечення профілактики злочинності, правопорядку та безпеки на території Мукачівської міської територіальної громади на 2022 рік</t>
  </si>
  <si>
    <t>Рішення виконавчого комітету Мукачівської міської ради №190  від 10.05.2022 р. (зі змінами)</t>
  </si>
  <si>
    <t xml:space="preserve"> -"-</t>
  </si>
  <si>
    <t>Мукачівське районне управління поліції ГУНП  в Закарпатській області</t>
  </si>
  <si>
    <t>Програма покращення матеріально-технічної бази військової частини  А1047 на 2022 рік</t>
  </si>
  <si>
    <t>Рішення виконавчого комітету Мукачівської міської ради №192  від 10.05.2022 р. (зі змінами)</t>
  </si>
  <si>
    <t>Військова частини  А1047</t>
  </si>
  <si>
    <t>Програма матеріально-технічного забезпечення та полішення умов несення служби струкурних підрозділів  військової частини А3719 на 2022 рік.</t>
  </si>
  <si>
    <t>Рішення виконавчого комітету Мукачівської міської ради  №278  від 05.07.2022 р.</t>
  </si>
  <si>
    <t>Вйськова частина А 3719 (для структурного підрозділу військової частини А 0342)</t>
  </si>
  <si>
    <t>Програма матеріально-технічного забезпечення для виконання оборонних заходів у військовій частині А0515 на 2022 рік.</t>
  </si>
  <si>
    <t>Рішення виконавчого комітету Мукачівської міської ради №277  від 05.07.2022 р.</t>
  </si>
  <si>
    <t>Військова частина А0515</t>
  </si>
  <si>
    <t>Програма поліпшення матеріально-технічної бази 2 Державного пожежно-рятувального загону ГУ ДСНС України у Закарпатській області на 2022 рік</t>
  </si>
  <si>
    <t>Рішення виконавчого комітету Мукачівської міської ради №176   від 05.05.2022 р. (зі змінами)</t>
  </si>
  <si>
    <t xml:space="preserve"> 2 Державний пожежно-рятувальний загін ГУ ДСНС України у Закарпатській області </t>
  </si>
  <si>
    <t>Програма матеріально-технічного забезпечення та поліпшення умов несення служби структурних  підрозділів військової частини А 4604 на 2022 рік</t>
  </si>
  <si>
    <t>Рішення Виконавчого комітету ММР №191  від 10.05.2022 р. (зі  змінами)</t>
  </si>
  <si>
    <t>Вйськова частина А 4604 (для структурного підрозділу військової частини А 3737)</t>
  </si>
  <si>
    <t xml:space="preserve">Програма сприяння діяльності Управління патрульної поліції в Закарпатській області Департаменту патрульної поліції на 2022 рік </t>
  </si>
  <si>
    <t xml:space="preserve">Управління патрульної поліції в Закарпатській області Департаменту патрульної поліції </t>
  </si>
  <si>
    <t>Програма організації та забезпечення територіальної оборони, призову на строкову військову службу та військово-патріотичного виховання населення  Закарпатської області на 2022 – 2025 роки</t>
  </si>
  <si>
    <t xml:space="preserve">Рішення ММР № 778 від 24.02.2022 р </t>
  </si>
  <si>
    <t>Закарпатський обласний територіальний центр комплектування та соціальної підтримки</t>
  </si>
  <si>
    <t>Програма підвищення спроможності та поліпшення умов несення служби в 27 прикордонному загоні на 2022 рік</t>
  </si>
  <si>
    <t>Рішення виконавчого комітету Мукачівської міської ради №170  від 27.04.2022 р. (зі змінами)</t>
  </si>
  <si>
    <t>27 прикордонний загін</t>
  </si>
  <si>
    <t>Програма поліпшення умов несення служби, організації виховного та навчального процесу у військовій частині А1556 на 2022 рік (нова редакція)</t>
  </si>
  <si>
    <t>Рішення виконавчого комітету Мукачівської міської ради № 131 від 05.04.2022 р  (зі змінами)</t>
  </si>
  <si>
    <t xml:space="preserve">Військова частина А1556 </t>
  </si>
  <si>
    <t>Програма матеріально-технічного забезпечення військових формувань для виконання мобілізаційних заходів на 2022 рік у новій редакції</t>
  </si>
  <si>
    <t>Рішення виконавчого комітету Мукачівської міської ради № 384 від 06.09.2022 р  (зі змінами)</t>
  </si>
  <si>
    <t>Програма матеріально-технічного забезпечення Управління Служби безпеки України в Закарпатській області на 2022 рік</t>
  </si>
  <si>
    <t xml:space="preserve">Рішення виконавчого комітету Мукачівської міської ради № 385 від 06.09.2022 р  </t>
  </si>
  <si>
    <t>Управління Служби безпеки України в Закарпатській області (Мукачівський районний відділ УСБУ в Закарпатській області)</t>
  </si>
  <si>
    <t>Програма матеріально-технічного забезпечення та поліпшення умов несення служби структурних підрозділів військової частини 3115 Національної гвардії України на 2022 рік</t>
  </si>
  <si>
    <t xml:space="preserve">Рішення Виконавчого комітету Мукачівської міської ради  № 200 від 16.05.2022 р </t>
  </si>
  <si>
    <t xml:space="preserve">Військова частина 3115 Національної гвардії України </t>
  </si>
  <si>
    <t>Програма матеріально-технічного забезпечення структурного підрозділу Ужгородського зонального відділу Військової служби правопорядку на 2022 рік</t>
  </si>
  <si>
    <t>Програма підтримки та матеріально-технічного забезпечення квартирно-експлуатаційного відділу м. Мукачеве на 2022 рік</t>
  </si>
  <si>
    <t>Управління освіти, культури,  молоді та спорту  Мукачівської міської ради  (відповідальний виконавець)</t>
  </si>
  <si>
    <t xml:space="preserve">Програма оздоровлення та відпочинку дітей Мукачівської міської територіальної громади на 2022-2024 роки
</t>
  </si>
  <si>
    <t>Рішення  сесії  ММР № 485 від 26.08.2021 р.</t>
  </si>
  <si>
    <t>Програма організації безоплатного гарячого харчування дітей пільгових категорій  у закладах освіти Мукачівської міської територіальної громади на 2022-2024 роки</t>
  </si>
  <si>
    <t>Рішення сесії ММР  № 684 від 17.12.2021 р. (зі змінами)</t>
  </si>
  <si>
    <t xml:space="preserve">Програма розвитку освіти Мукачівської міської територіальної громади на 2021-2023 роки (нова редакція) </t>
  </si>
  <si>
    <t>Рішення  сесії ММР  № 301 від 29.04.2021 р. (зі змінами)</t>
  </si>
  <si>
    <t>Програма подарунки для дітей закладів освіти Мукачівської міської територіальної громади на 2022-2024 роки</t>
  </si>
  <si>
    <t xml:space="preserve">Рішення  сесії ММР  № 487 від 26.08.2021 р. </t>
  </si>
  <si>
    <t>Програма розвитку пластового руху Мукачівської міської територіальної громади та відокремленого підрозділу молодіжної організації Пласт - Національної скаутської організації в місті Мукачево в Закарпатській області "Станиця Мукачево"  на 2021-2023 роки</t>
  </si>
  <si>
    <t xml:space="preserve">Рішення  сесії ММР  № 264 від 25.03.2021 р. </t>
  </si>
  <si>
    <t>Програма впровадження молодіжної політики Мукачівської міської територіальної громади на 2022-2024 роки</t>
  </si>
  <si>
    <t xml:space="preserve">Рішення  сесії ММР  № 489 від 26.08.2021 р. </t>
  </si>
  <si>
    <t xml:space="preserve">Інші заходи в галузі культури і мистецтва </t>
  </si>
  <si>
    <t xml:space="preserve">Програма розвитку культури і мистецтв Мукачівської міської  територіальної громади на 2022 -2024  роки </t>
  </si>
  <si>
    <t>Рішення  сесії ММР  № 613
 від 25.11.2021 р.</t>
  </si>
  <si>
    <t xml:space="preserve">Програма розвитку фізичної культури і спорту Мукачівської міської територіальної громади на 2022-2024 роки </t>
  </si>
  <si>
    <t>Рішення  сесії ММР  № 488 
від 26.08.2021 р. (зі змінами)</t>
  </si>
  <si>
    <t>Управління соціального захисту населення  Мукачівської міської ради (відповідальний виконавець)</t>
  </si>
  <si>
    <t>Програма забезпечення виконання управлінням соціального захисту населення Мукачівської міської ради рішень суду на 2022-2024 роки</t>
  </si>
  <si>
    <t>Рішення  сесії ММР  №777
від 24.02.2022 р.</t>
  </si>
  <si>
    <t xml:space="preserve">Програма  додаткового соціально-медичного захисту  
на 2022-2024 роки </t>
  </si>
  <si>
    <t>Рішення ВК ММР  № 95 від 23.03.2022 р. (зі змінами)</t>
  </si>
  <si>
    <t xml:space="preserve">Рішення ВК ММР  № 153 від 20.04.2022 р. </t>
  </si>
  <si>
    <t>Рішення сесії Мукачівської міської ради  № 486 від 26.08.2021 р.</t>
  </si>
  <si>
    <t xml:space="preserve">Програма забезпечення прав окремих пільгових категорій громадян з числа жителів Мукачівської міської територіальної громади на пільговий проїзд та пільговий телефонний зв’язок на 2022-2024 роки </t>
  </si>
  <si>
    <t>Рішення сесії ММР  № 610
 від 25.11.2021р. (зі змінами)</t>
  </si>
  <si>
    <t>Управління міського господарства  Мукачівської міської ради  (відповідальний виконавець)</t>
  </si>
  <si>
    <t xml:space="preserve">Програма організації громадських оплачуваних робіт для молоді у вільний від навчання час на 2022-2024 роки </t>
  </si>
  <si>
    <t>Програма організації та проведення суспільно корисних робіт для порушників, на яких судом накладено адміністративне стягнення у вигляді виконання суспільно корисних робіт на  2022-2024 роки</t>
  </si>
  <si>
    <t>Рішення  сесії ММР  № 498 
від 26.08.2021</t>
  </si>
  <si>
    <t>Програма реформування та підтримки водопровідного та каналізаційного господарств на території Мукачівської міської територіальної громади  на 2022 - 2024 роки в новій редакції</t>
  </si>
  <si>
    <t>Рішення ВК ММР  №265 від 21.06.2022 р.  (зі змінами)</t>
  </si>
  <si>
    <t>Програма захисту тварин від жорстокого поводження, створення комфортних умов співіснування людей і тварин на території Мукачівської міської територіальної  громади  на 2022-2024 роки</t>
  </si>
  <si>
    <t>Рішення  сесії ММР  № 493 
від 26.08.2021</t>
  </si>
  <si>
    <t>Програма благоустрою території Мукачівської міської  територіальної громади на 2022-2024 роки   в новій редакції</t>
  </si>
  <si>
    <t>Рішення Виконавчого комітету Мукачівської міської ради  №204 від 16.05.2022 р.(зі змінами)</t>
  </si>
  <si>
    <t>Програма відшкодування різниці між затвердженим тарифом та розміром економічно обґрунтованих витрат на утримання ліфтового господарства житлового фонду Мукачівської міської  територіальної громади на 2022-2024 роки</t>
  </si>
  <si>
    <t>Рішення  сесії ММР  №497 
від  26.08.2021р.</t>
  </si>
  <si>
    <t>Програма розвитку житлово-комунального господарства Мукачівської міської територіальної громади на 2022-2024  роки</t>
  </si>
  <si>
    <t>Рішення сесії ММР  № 690 від 17.12.2021 р.</t>
  </si>
  <si>
    <t>Програма підтримки та стимулювання створення об’єднань співвласників багатоквартирних будинків Мукачівської міської  територіальної громади на 2022-2024 роки  (нова редакція)</t>
  </si>
  <si>
    <t>Програма фінансової підтримки управителів багатоквартирних будинків для проведння поточих ремонтів та заходів (зокрема ремонтні роботи) з усунення аварій в житловому фонд на території міста Мукачево (крім ОСББ та ЖБК) на 2022-2024 роки</t>
  </si>
  <si>
    <t>Рішення Виконавчого комітету ММР № 120 від 01.04.2022 р</t>
  </si>
  <si>
    <t>Програма проведення поточних ремонтів, в тому числі поточних ремонтів з усунення аварій в житловому фонді на території міста Мукачево (крім ОСББ та ЖБК) на 2022-2024 роки</t>
  </si>
  <si>
    <t>Рішення Виконавчого комітету ММР № 232 від 31.05.2022 р (зі змінами)</t>
  </si>
  <si>
    <t>Програма забезпечення діяльності Мукачівської міської  територіальної громади в сфері містобудування, архітектури, земельних відносин та комунальної власності на 2022-2024 роки</t>
  </si>
  <si>
    <t>Рішення сесії ММР  № 685 від 17.12.2021 р.(із змінами)</t>
  </si>
  <si>
    <t>Програма підтримки ММКП «Міжнародний аеропорт Мукачево» на 2022-2024 роки</t>
  </si>
  <si>
    <t>Рішення  сесії ММР  №494 
від  26.08.2021р.</t>
  </si>
  <si>
    <t>Програма покращення екологічного стану на території Мукачівської міської територіальної громади на 2022-2024 роки</t>
  </si>
  <si>
    <t>Рішення  сесії ММР  №495 
від  26.08.2021р.</t>
  </si>
  <si>
    <t>Рішення сесії ММР  № 685 від 17.12.2021 р.</t>
  </si>
  <si>
    <t>1217351</t>
  </si>
  <si>
    <t>7351</t>
  </si>
  <si>
    <t>Розроблення комплексних планів просторового розвитку територій територіальних громад</t>
  </si>
  <si>
    <t>Проведення експертної грошової оцінки земельної ділянки чи права на неї</t>
  </si>
  <si>
    <t xml:space="preserve">Програма експлуатаційного утримання автомобільних доріг загального користування місцевого значення на території Мукачівської міської територіальної громади на 2022-2024 роки </t>
  </si>
  <si>
    <t>1511010</t>
  </si>
  <si>
    <t>Програма капітального ремонту об’єктів Мукачівської міської територіальної громади на 2022-20224 роки</t>
  </si>
  <si>
    <t>Рішення сесії ММР  № 691 від 17.12.2021 р.(із змінами)</t>
  </si>
  <si>
    <t>1511080</t>
  </si>
  <si>
    <t>Надання спеціалізованої освіти мистецькими школами</t>
  </si>
  <si>
    <t>1514060</t>
  </si>
  <si>
    <t xml:space="preserve"> Обслуговування місцевого боргу</t>
  </si>
  <si>
    <t>Програма управління місцевим боргом на 2020-2022 роки</t>
  </si>
  <si>
    <t>Рішення  сесії ММР  № 29  від 03.12.2020 р. (із змінами)</t>
  </si>
  <si>
    <t xml:space="preserve">Усього </t>
  </si>
  <si>
    <t>(пункт 7)</t>
  </si>
  <si>
    <t xml:space="preserve"> видатків  бюджету Мукачівської міської територіальної громади  на 2022 рік</t>
  </si>
  <si>
    <t>додаток 3 до рішення 19 -ї позачергової сесії  Мукачівської міської ради 8-го скликання                      
від  17  грудня  2021  року № 701 "Про бюджет Мукачівської міської територіальної громади на 2022 рік"                   
 (нова редакція)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</si>
  <si>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</si>
  <si>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</si>
  <si>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</si>
  <si>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Керівництво і управління у відповідній сфері у містах (місті Києві), селищах, селах, територіальних громадах</t>
  </si>
  <si>
    <t>Багатопрофільна стаціонарна медична допомога населенню</t>
  </si>
  <si>
    <t>Інші програми та заходи у сфері охорони здоров`я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</si>
  <si>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</si>
  <si>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Інші заходи, пов`язані з економічною діяльністю</t>
  </si>
  <si>
    <t>8240</t>
  </si>
  <si>
    <t>0380</t>
  </si>
  <si>
    <t>0611010</t>
  </si>
  <si>
    <t>Надання позашкільної освіти закладами позашкільної освіти, заходи із позашкільної роботи з дітьми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</si>
  <si>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</si>
  <si>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Здійснення заходів та реалізація проектів на виконання Державної цільової соціальної програми `Молодь України`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</si>
  <si>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</si>
  <si>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0614040</t>
  </si>
  <si>
    <t>4040</t>
  </si>
  <si>
    <t>Забезпечення діяльності музеїв i виставок</t>
  </si>
  <si>
    <t>Забезпечення діяльності палаців i будинків культури, клубів, центрів дозвілля та iнших клубних закладів</t>
  </si>
  <si>
    <t>Утримання та навчально-тренувальна робота комунальних дитячо-юнацьких спортивних шкіл</t>
  </si>
  <si>
    <t>Надання пільг окремим категоріям громадян з оплати послуг зв`язку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</si>
  <si>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</si>
  <si>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залізничному транспорті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</si>
  <si>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</si>
  <si>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Видатки, пов`язані з наданням підтримки внутрішньо перемішеним та/або евакуйованим особам у зв`язку із введенням воєнного стану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</si>
  <si>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</si>
  <si>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Здійснення заходів із землеустрою</t>
  </si>
  <si>
    <t>Будівництво об`єктів житлово-комунального господарства</t>
  </si>
  <si>
    <t>Будівництво інших об`єктів комунальної власності</t>
  </si>
  <si>
    <t>Внески до статутного капіталу суб`єктів господарювання</t>
  </si>
  <si>
    <t>Проектування, реставрація та охорона пам`яток архітектури</t>
  </si>
  <si>
    <t>УСЬОГО</t>
  </si>
  <si>
    <t>(пункт 4)</t>
  </si>
  <si>
    <t xml:space="preserve"> Ужгородський зональний відділ Військової служби правопорядку (для Відділення Військової служби правопорядку (м. Мукачева) )</t>
  </si>
  <si>
    <t xml:space="preserve">Рішення Виконавчого комітету Мукачівської міської ради  № 426 від 06.10.2022 р </t>
  </si>
  <si>
    <t>0219770</t>
  </si>
  <si>
    <t>Програма фінансової підтримки діяльності Мукачівської районної ради на 2022 рік</t>
  </si>
  <si>
    <t>Мукачівська районна рада</t>
  </si>
  <si>
    <t>Рішення Виконавчого комітету Мукачівської міської ради № 456 від 11.10.2022 р.</t>
  </si>
  <si>
    <t>Рішення Виконавчого комітету Мукачівської міської ради №179 від 05.05.2022 р. (зі змінами)</t>
  </si>
  <si>
    <t>ЗМІНИ до РОЗПОДІЛУ</t>
  </si>
  <si>
    <t xml:space="preserve"> бюджетних призначень (у межах загального обсягу) за головними розпорядниками коштів бюджету Мукачівської міської територіальної громади на 2022 рік  </t>
  </si>
  <si>
    <t>3100000</t>
  </si>
  <si>
    <t>31</t>
  </si>
  <si>
    <t>Управління комунальної власності та архітектури   Мукачівської міської ради  (головний розпорядник)</t>
  </si>
  <si>
    <t>3110000</t>
  </si>
  <si>
    <t>Управління комунальної власності та архітектури  Мукачівської міської ради (відповідальний виконавець)</t>
  </si>
  <si>
    <t>3110160</t>
  </si>
  <si>
    <t>Спрямування залишку коштів бюджету, що склався на 01.01.2022 року</t>
  </si>
  <si>
    <t xml:space="preserve"> за головними  розпорядниками  коштів бюджету Мукачівської міської територіальної громади на 2022 рік </t>
  </si>
  <si>
    <t>1000000</t>
  </si>
  <si>
    <t>10</t>
  </si>
  <si>
    <t>Відділ культури Мукачівської міської ради  (головний розпорядник)</t>
  </si>
  <si>
    <t>1010000</t>
  </si>
  <si>
    <t>Відділ культури  Мукачівської міської ради (відповідальний виконавець)</t>
  </si>
  <si>
    <t>1010160</t>
  </si>
  <si>
    <t>1011080</t>
  </si>
  <si>
    <t>1014010</t>
  </si>
  <si>
    <t>1014030</t>
  </si>
  <si>
    <t>1014040</t>
  </si>
  <si>
    <t>Забезпечення діяльності музеїв і виставок</t>
  </si>
  <si>
    <t>1014060</t>
  </si>
  <si>
    <t>1014081</t>
  </si>
  <si>
    <t>4081</t>
  </si>
  <si>
    <t xml:space="preserve">Забезпечення діяльності інших закладів в галузі культури і мистецтва </t>
  </si>
  <si>
    <t>1014082</t>
  </si>
  <si>
    <t>Реставрація та пристосування для сучасного використання пам’ятки архітектури національного значення «Палац» (охоронний № 169) за адресою площа Кирила і Мефодія, 16 в м. Мукачево</t>
  </si>
  <si>
    <t>6083</t>
  </si>
  <si>
    <t>0610</t>
  </si>
  <si>
    <t>0216083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</si>
  <si>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</si>
  <si>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Програма захисту прав дітей  на 2022-2024 роки  у новій редакції</t>
  </si>
  <si>
    <t>Рішення виконавчого комітету Мукачівської міської ради №462  від 25.10.2022 р. (зі змінами)</t>
  </si>
  <si>
    <t>Рішення виконавчого комітету Мукачівської міської ради  № 222 від 24.05.2022 р</t>
  </si>
  <si>
    <t>(пункт 8)</t>
  </si>
  <si>
    <t>(пункт 9)</t>
  </si>
  <si>
    <t>Програма матеріальної підтримки сімей загиблих під час безпосередньої участі у бойових діях, забезпеченні здійснення заходів з національної безпеки і оборони, відсічі і стримування військової агреcії російської федерації проти України</t>
  </si>
  <si>
    <t>Рішення сесії ММР  № 481 від  26.08.2021 р.(зі змінами)</t>
  </si>
  <si>
    <t>Рішення Виконавчого комітету Мукачівської міської ради  № 328 від  04.08.2022 р (зі змінами)</t>
  </si>
  <si>
    <t>Додаток 1
до рішення   -ї   сесії Мукачівської міської ради 8-го скликання                             
"Про внесення змін до бюджету Мукачівської міської територіальної громади на 2022 рік"                   
від __________  2022  року № ________</t>
  </si>
  <si>
    <t>Додаток 2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
від           _________ 2022  року__ № _____</t>
  </si>
  <si>
    <t xml:space="preserve">Додаток 3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
від _________  2022  року № </t>
  </si>
  <si>
    <t>Додаток 4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
від           _________ 2022  року__ № _____</t>
  </si>
  <si>
    <t>Додаток 5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
від           ______   2022  року №</t>
  </si>
  <si>
    <t>Додаток 6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від __________ 2022 року № ______</t>
  </si>
  <si>
    <t>Секретар міської  ради</t>
  </si>
  <si>
    <t>Олександр ГОРЯЧКУН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</si>
  <si>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</si>
  <si>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Квартирно-експлуатаційний відділ м. Мукачеве</t>
  </si>
  <si>
    <t>ЗМІНИ ДО ОБСЯГІВ</t>
  </si>
  <si>
    <t>капітальних вкладень бюджету у розрізі інвестиційних проектів</t>
  </si>
  <si>
    <t>у 2022 році</t>
  </si>
  <si>
    <t>Найменування інвестиційного проекту</t>
  </si>
  <si>
    <t>Загальний період реалізації проекту, (рік початку і завершення)</t>
  </si>
  <si>
    <t>Загальна вартість проекту, гривень</t>
  </si>
  <si>
    <t>Обсяг капітальних вкладень місцевого бюджету всього, гривень</t>
  </si>
  <si>
    <t>Обсяг капітальних вкладень місцевого бюджету у 2022 році, гривень</t>
  </si>
  <si>
    <t>Очікуваний рівень готовності проекту на кінець 2022 року, %</t>
  </si>
  <si>
    <t xml:space="preserve">Будiвництво об'єктів житлово-комунального господарства  </t>
  </si>
  <si>
    <t>Будівництво  системи  водопостачання та каналізації  по вул  Підгородська, Поневача Юлія, Павлюка  Олександра, Загоскіна  у м. Мукачево.</t>
  </si>
  <si>
    <t>2018-2022</t>
  </si>
  <si>
    <t>Будівництво пішохідного мосту через річку Латориця (в районі Черемшина-Росвигово)</t>
  </si>
  <si>
    <t>2019-2022</t>
  </si>
  <si>
    <t>Будівництво каналізаційно насосної станції на розі вулиць Підгородська-Дем’яна Бідного у м.Мукачево</t>
  </si>
  <si>
    <t>2020-2022</t>
  </si>
  <si>
    <t>Влаштування скверу по вул. Першотравнева Набережна у м. Мукачево</t>
  </si>
  <si>
    <t>в т.ч. за рахунок коштів місцевого запозичення</t>
  </si>
  <si>
    <t>Реконструкція вул.Гвардійська у м.Мукачево</t>
  </si>
  <si>
    <t>Будівництво об'єктів  житлово-комунального господарства</t>
  </si>
  <si>
    <t>Будівництво зовнішніх мереж електропостачання для каналізаційної насосної станції на розі вулиць Сагайдачного Петра - Грибоєдова Олександра у м. Мукачево</t>
  </si>
  <si>
    <t>Будівництво спортивного залу та благоустрій території ЗОШ І-ІІІ ст. № 1 по вул. Пушкіна Олександра, 23 в м. Мукачево</t>
  </si>
  <si>
    <t>Будівництво Ново Давидківського дошкільного закладу Мукачівської міської ради по вул. Івана Франка б/н в с. Нове Давидково, Мукачівського району, Закарпатської області. Коригування</t>
  </si>
  <si>
    <t>Реконструкція Мукачівської гімназії № 15 Мукачівської міської ради Закарпатської області в м. Мукачево, вул. Лермонтова Михайла, 12 та Мукачівського закладу дошкільної освіти № 14 Мукачівської міської ради Закарпатської області в м. Мукачево, вул. Лермонтова Михайла, 10 під ліцей</t>
  </si>
  <si>
    <t>2021-2022</t>
  </si>
  <si>
    <t>Реконструкція харчоблоку Мукачівського ліцею № 10 по вул. Драгоманова Михайла,66 у м.Мукачево</t>
  </si>
  <si>
    <t>Реконструкція НВК "Горбківської ЗОШ І-ІІ ст- ДНЗ" по вул. Шевченка, 96 с. Горбок Мукачівської ТГ</t>
  </si>
  <si>
    <t>Реконструкція ДНЗ по вул. Я.Мудрого, 86 в с. Ключарки, Мукачівського району. Коригування</t>
  </si>
  <si>
    <t>Реконструкція системи опалення ЗОШ № 13 по вул. Росвигівська, 13 в м. Мукачево. Коригування</t>
  </si>
  <si>
    <t>Реконструкція СШ № 16 по вул. Шевченка, 68 в м. Мукачево. Коригування</t>
  </si>
  <si>
    <t>Реконструкція будівлі по вул.Штефана Августина, 19 - Недецеї, 33 під "Палац культури і мистецтва" в м. Мукачево Коригування</t>
  </si>
  <si>
    <t>Будівництво інших об'єктів  комунальної власності</t>
  </si>
  <si>
    <t>Реконструкція привокзальної площі у м. Мукачево</t>
  </si>
  <si>
    <t>Реконструкція футбольного поля, дитячих та спортивних майданчиків, благоустрій території в с. Павшино, урочище Нижній капусняк</t>
  </si>
  <si>
    <t>Реконструкція площі Духновича Олександра у м.Мукачево</t>
  </si>
  <si>
    <t>Реконструкція скверу по вул. Ілони Зріні, 111-113 та вул. Молодіжна, 25 у м. Мукачево</t>
  </si>
  <si>
    <t>Реконструкція скверу по вул. Федорова Івана у м .Мукачево</t>
  </si>
  <si>
    <t>Будівництво кругового руху на перехресті вул. Валенберга Рауля та Беляєва Павла космонавта у м. Мукачево</t>
  </si>
  <si>
    <t>Будівництво кругового руху на перехресті вул. Духновича Олександра та Стуса Василя у м. Мукачево</t>
  </si>
  <si>
    <t>Будівництво центру стерилізації та адопції (прилаштування) тварин по вул.Берегівська-об’їзна у м.Мукачево</t>
  </si>
  <si>
    <t>Будівництво кругового руху на перехресті вул. Духновича Олександра - вул. Миру - пл. Кирила і Мефодія у м. Мукачево</t>
  </si>
  <si>
    <t>Будівництво спортивного та дитячого майданчиків по вул. Великогірна, 32 у м. Мукачево</t>
  </si>
  <si>
    <t>Будівництво громадської вбиральні по вул.Молодіжна у с. Горбок Мукачівської ТГ</t>
  </si>
  <si>
    <t>Будівництво громадської вбиральні по вул. Виноградна  у с. Доробратово Мукачівської ТГ</t>
  </si>
  <si>
    <t>Будівництво громадської вбиральні по вул. Кутузова у с. Доробратово Мукачівської ТГ</t>
  </si>
  <si>
    <t>Будівництво громадської вбиральні по вул. Л. Українки у с. Негрово Мукачівської ТГ</t>
  </si>
  <si>
    <t>Будівництво громадської вбиральні по вул. Лісова у с. Негрово Мукачівської ТГ</t>
  </si>
  <si>
    <t>Будівництво мультиспортивного майданчика по вул. Берегівська, 28 у м. Мукачево</t>
  </si>
  <si>
    <t>Будівництво спортивного майданчика по вул. Апостола Данила, 12 та вул. Одеська, 2 у м. Мукачево</t>
  </si>
  <si>
    <t>Будівництво антикишень на пішохідних переходах по вул. Ужгородська у м. Мукачево</t>
  </si>
  <si>
    <t>Будівництво кругового руху на перехресті вул. Берегівська - вул. 26 Жовтня - вул. Шевченка Тараса у м. Мукачево</t>
  </si>
  <si>
    <t>Будівництво паркомісць для туристичних автобусів по вул. Зріні Ілони у м. Мукачево</t>
  </si>
  <si>
    <t>Будівництво паркомісць для туристичних автобусів по вул.Ужгородська біля МДУ у м. Мукачево</t>
  </si>
  <si>
    <t>Будівництво центру безпеки громадян по вул. Лавківська, б/н в м. Мукачево</t>
  </si>
  <si>
    <t xml:space="preserve">Реставрація та технічне переоснащення інженерних мереж  пам’ятки архітектури місцевого значення  "Адмінбудинок" (охоронний № 26-Зк)  за адресою: Закарпатська область, м. Мукачево, вул. Пушкіна, 2/ пл. Духновича Олександра, 2 </t>
  </si>
  <si>
    <t>Реставрація та пристосування для сучасного використання  пам’ятки архітектури національного значення «Палац» (охоронний № 169) за адресою площа Кирила і Мефодія, 16 в м. Мукачево</t>
  </si>
  <si>
    <t>Реконструкція мосту по вул. Садова у м. Мукачево, Закарпатської області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</si>
  <si>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</si>
  <si>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Утримання та розвиток автомобільних доріг та дорожньої інфраструктури за рахунок коштів місцевого бюджету
</t>
  </si>
  <si>
    <t xml:space="preserve">Будівництво вул. Німецька (на ділянці від вул.Графа фон Шенборна до будинку № 33 по вул. Німецька) у м. Мукачево Закарпатської області </t>
  </si>
  <si>
    <t>Будівництво тротуару від вул. Миру до кладовища вздовж автомобільної дороги М-24 Велика Добронь - Мукачево – Берегово – КПП «Лужанка» у с. Нижній Коропець  Мукачівської ТГ</t>
  </si>
  <si>
    <t>Реконструкція вул. Данила Галицького, вул. Університетська (на ділянці від будинку №107 до будинку №127), вул. Перемоги (на ділянці від будинку №1 до будинку №7), вул. Садова (на ділянці від перехрестя з вул. Перемоги до моста через р.Латориця) у м.Мукачево</t>
  </si>
  <si>
    <t>Реконструкція вул.Грибоєдова у м.Мукачево, Закарпатської області</t>
  </si>
  <si>
    <t>Реконструкція вул.Пожарського Грибоєдова у м.Мукачево, Закарпатської області</t>
  </si>
  <si>
    <t>Реконструкція вул.Робоча у м.Мукачево</t>
  </si>
  <si>
    <t>Реконструкція вул.Солов’їна у м.Мукачево</t>
  </si>
  <si>
    <t>Реконструкція перехрестя вул. Духновича Олександра та Ринкова у м. Мукачево</t>
  </si>
  <si>
    <t>Реконструкція перехрестя вул. Миру та вул. Нижнянська у с.Лавки  Мукачівської ТГ</t>
  </si>
  <si>
    <t>х</t>
  </si>
  <si>
    <t>ОБСЯГИ</t>
  </si>
  <si>
    <t>додаток 5  до рішення 19 -ї позачергової сесії  Мукачівської міської ради 8-го скликання                      
від  17  грудня  2021  року № 701 "Про бюджет Мукачівської міської територіальної громади на 2022 рік"                   
 (нова редакція)</t>
  </si>
  <si>
    <t xml:space="preserve">Реконструкція системи водопостачання, каналізації та  санвузлів Новодавидківської ЗОШ І-ІІІ ст. (корпус № 1) по вул. Набережна, 99 в с. Нове Давидково, Мукачівська міська ТГ </t>
  </si>
  <si>
    <t>Реконструкція сільського клубу по вул. Ярослава Мудрого, 66А с. Ключарки Мукачівської ОТГ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</si>
  <si>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м.Мукачево.Коригування</t>
  </si>
  <si>
    <t>Реконструкція футбольного поля, дитячих та спортивних майданчиків, благоустрій території в с. Павшино, урочище Нижній капусняк.Коригування</t>
  </si>
  <si>
    <t>Реконструкція вул.Грибоєдова у м.Мукачево, Закарпатської області.Коригування</t>
  </si>
  <si>
    <t>Реконструкція вул.Пожарського Грибоєдова у м.Мукачево, Закарпатської області.Коригування</t>
  </si>
  <si>
    <t>Реконструкція вул.Робоча у м.Мукачево.Коригування</t>
  </si>
  <si>
    <t>Реконструкція вул.Солов’їна у м.Мукачево.Коригування</t>
  </si>
  <si>
    <t>Додаток 7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від __________ 2022 року № ______</t>
  </si>
  <si>
    <t>Додаток 8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                                                                               від    ______________ 2022 року № ________</t>
  </si>
  <si>
    <t>Додаток 9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                                                                              від   _____________  2022 року № _______</t>
  </si>
  <si>
    <t>(пункт 10)</t>
  </si>
  <si>
    <t>Додаток 10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                                                                                                                             від    ____________ 2022 року № _______</t>
  </si>
  <si>
    <t>(пункт 11)</t>
  </si>
  <si>
    <t>Реконструкція системи водопостачання, каналізації та санвузлів Новодавидківської ЗОШ І-ІІІ ст. (корпус № 2) по вул. Івана Франка, 43 в с. Нове Давидково, Мукачівська міська ТГ</t>
  </si>
  <si>
    <t>Реконструкція вхідної групи скульптурної композиції "Рік біди і випробування" та тротуару по дамбі на ділянці від вул. Беляєва Павла космонавта до парку імені Андрія Кузьменка у м.Мукачево. Коригування</t>
  </si>
  <si>
    <t xml:space="preserve">Будівництво спортивного майданчика по вул. Духновича, 93 у м. Мукачево </t>
  </si>
  <si>
    <t>Будівництво зовнішніх мереж електропостачання для каналізаційної насосної станції на розі вулиць Підгородська - Дем'яна  Бідного (Поневача Юлія) у м. Мукачево. Коригування.</t>
  </si>
  <si>
    <t>Додаток  11
до рішення   -ї   сесії Мукачівської міської ради 8-го скликання                        
"Про внесення змін до бюджету Мукачівської міської територіальної громади на 2022 рік"   від __________ 2022 року № ______</t>
  </si>
  <si>
    <t>Рішення Виконавчого комітету Мукачівської міської ради від № 347 від 09.08.2022 р. (зі змінами)</t>
  </si>
  <si>
    <t>Рішення Виконавчого комітету ММР № 230 від 31.04.2022 р. (зі змінами)</t>
  </si>
  <si>
    <t>21301200000</t>
  </si>
  <si>
    <t>районний бюджет Бериславського району</t>
  </si>
  <si>
    <t>Інша субвенція на відновлення інфраструктури та матеріально-технічної бази бюджетних установ, придбання будівельних матеріалів та проведення ремонтно-будівельних робіт будівель мешканців, будівель установ соціально-культурної сфери та адміністративних будівель, які були зруйновані чи пошкоджені внаслідок збройної агресії російської федерації, також придбання деревини паливної для мешканців району у зв’язку із відсутністю енергопостачання в районі; придбання паливно-мастильних матеріалів для потреб населення, комунальних підприємств, установ та закладів територіальних громад Бериславського району Херсонської області</t>
  </si>
  <si>
    <t>Рішення виконавчого комітету Мукачівської міської ради №276  від 05.07.2022 р. (зі змінами)</t>
  </si>
  <si>
    <t xml:space="preserve"> відновлення інфраструктури та матеріально-технічної бази бюджетних установ, придбання будівельних матеріалів та проведення ремонтно-будівельних робіт будівель мешканців, будівель установ соціально-культурної сфери та адміністративних будівель, які були зруйновані чи пошкоджені внаслідок збройної агресії російської федерації, а також придбання деревини паливної для мешканців Бериславського району Херсонської області, у зв’язку із відсутністю енергопостачання в даному районі; придбання паливно-мастильних матеріалів для потреб населення, комунальних підприємств, установ та закладів територіальних громад Бериславського району Херсонської області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</si>
</sst>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_₴_-;\-* #,##0.00\ _₴_-;_-* &quot;-&quot;??\ _₴_-;_-@_-"/>
    <numFmt numFmtId="165" formatCode="#,##0.0"/>
    <numFmt numFmtId="166" formatCode="#,##0.00;\-#,##0.00;#,&quot;-&quot;"/>
    <numFmt numFmtId="167" formatCode="_-* #,##0.00_₴_-;\-* #,##0.00_₴_-;_-* &quot;-&quot;??_₴_-;_-@_-"/>
    <numFmt numFmtId="168" formatCode="_-* #,##0.00\ _г_р_н_._-;\-* #,##0.00\ _г_р_н_._-;_-* &quot;-&quot;??\ _г_р_н_._-;_-@_-"/>
    <numFmt numFmtId="169" formatCode="0.0"/>
    <numFmt numFmtId="170" formatCode="_-* #,##0.0_₴_-;\-* #,##0.0_₴_-;_-* &quot;-&quot;??_₴_-;_-@_-"/>
    <numFmt numFmtId="171" formatCode="_-* #,##0.000_₴_-;\-* #,##0.000_₴_-;_-* &quot;-&quot;??_₴_-;_-@_-"/>
  </numFmts>
  <fonts count="6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 CYR"/>
      <charset val="204"/>
    </font>
    <font>
      <sz val="10"/>
      <name val="Arial"/>
      <family val="2"/>
      <charset val="204"/>
    </font>
    <font>
      <b/>
      <sz val="12"/>
      <color rgb="FFFF0000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 CYR"/>
      <charset val="204"/>
    </font>
    <font>
      <b/>
      <sz val="10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i/>
      <sz val="12"/>
      <color indexed="56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color indexed="8"/>
      <name val="Times New Roman"/>
      <family val="1"/>
      <charset val="204"/>
    </font>
    <font>
      <sz val="14"/>
      <name val="Times New Roman"/>
      <family val="1"/>
    </font>
    <font>
      <i/>
      <sz val="14"/>
      <name val="Times New Roman"/>
      <family val="1"/>
    </font>
    <font>
      <sz val="12"/>
      <color indexed="10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 CYR"/>
      <charset val="204"/>
    </font>
    <font>
      <sz val="12"/>
      <color indexed="6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</font>
    <font>
      <sz val="10"/>
      <name val="Arial Cyr"/>
      <family val="2"/>
      <charset val="204"/>
    </font>
    <font>
      <i/>
      <sz val="11"/>
      <color theme="1"/>
      <name val="Times New Roman"/>
      <family val="1"/>
    </font>
    <font>
      <b/>
      <sz val="10"/>
      <name val="Arial Cyr"/>
      <charset val="204"/>
    </font>
    <font>
      <b/>
      <sz val="11"/>
      <color rgb="FF000000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26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9">
    <xf numFmtId="0" fontId="0" fillId="0" borderId="0"/>
    <xf numFmtId="0" fontId="8" fillId="0" borderId="0"/>
    <xf numFmtId="0" fontId="17" fillId="0" borderId="0"/>
    <xf numFmtId="0" fontId="18" fillId="0" borderId="0"/>
    <xf numFmtId="0" fontId="8" fillId="0" borderId="0"/>
    <xf numFmtId="0" fontId="8" fillId="0" borderId="0"/>
    <xf numFmtId="0" fontId="7" fillId="0" borderId="0"/>
    <xf numFmtId="0" fontId="31" fillId="0" borderId="0">
      <alignment vertical="top"/>
    </xf>
    <xf numFmtId="0" fontId="33" fillId="0" borderId="0"/>
    <xf numFmtId="0" fontId="8" fillId="0" borderId="0"/>
    <xf numFmtId="0" fontId="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7" fillId="0" borderId="0"/>
    <xf numFmtId="0" fontId="7" fillId="0" borderId="0"/>
    <xf numFmtId="0" fontId="6" fillId="0" borderId="0"/>
    <xf numFmtId="0" fontId="5" fillId="0" borderId="0"/>
    <xf numFmtId="0" fontId="4" fillId="0" borderId="0"/>
    <xf numFmtId="9" fontId="8" fillId="0" borderId="0" applyFont="0" applyFill="0" applyBorder="0" applyAlignment="0" applyProtection="0"/>
    <xf numFmtId="0" fontId="8" fillId="0" borderId="0"/>
    <xf numFmtId="0" fontId="58" fillId="0" borderId="0"/>
    <xf numFmtId="168" fontId="8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</cellStyleXfs>
  <cellXfs count="699">
    <xf numFmtId="0" fontId="0" fillId="0" borderId="0" xfId="0"/>
    <xf numFmtId="0" fontId="9" fillId="2" borderId="0" xfId="1" applyFont="1" applyFill="1" applyAlignment="1">
      <alignment horizontal="center"/>
    </xf>
    <xf numFmtId="0" fontId="10" fillId="2" borderId="0" xfId="1" applyFont="1" applyFill="1" applyAlignment="1">
      <alignment wrapText="1"/>
    </xf>
    <xf numFmtId="3" fontId="11" fillId="2" borderId="0" xfId="1" applyNumberFormat="1" applyFont="1" applyFill="1" applyAlignment="1">
      <alignment horizontal="center" vertical="center" wrapText="1"/>
    </xf>
    <xf numFmtId="0" fontId="11" fillId="2" borderId="0" xfId="1" applyFont="1" applyFill="1" applyAlignment="1">
      <alignment horizontal="center" vertical="center" wrapText="1"/>
    </xf>
    <xf numFmtId="0" fontId="11" fillId="2" borderId="0" xfId="1" applyFont="1" applyFill="1" applyAlignment="1">
      <alignment vertical="center" wrapText="1"/>
    </xf>
    <xf numFmtId="0" fontId="9" fillId="2" borderId="0" xfId="1" applyFont="1" applyFill="1"/>
    <xf numFmtId="0" fontId="12" fillId="2" borderId="0" xfId="1" applyFont="1" applyFill="1"/>
    <xf numFmtId="0" fontId="12" fillId="0" borderId="0" xfId="1" applyFont="1"/>
    <xf numFmtId="0" fontId="11" fillId="3" borderId="0" xfId="1" applyFont="1" applyFill="1" applyAlignment="1">
      <alignment horizontal="center" vertical="center" wrapText="1"/>
    </xf>
    <xf numFmtId="0" fontId="12" fillId="3" borderId="0" xfId="1" applyFont="1" applyFill="1"/>
    <xf numFmtId="0" fontId="14" fillId="2" borderId="0" xfId="1" applyFont="1" applyFill="1"/>
    <xf numFmtId="49" fontId="12" fillId="2" borderId="0" xfId="1" applyNumberFormat="1" applyFont="1" applyFill="1"/>
    <xf numFmtId="0" fontId="12" fillId="2" borderId="0" xfId="1" applyFont="1" applyFill="1" applyAlignment="1">
      <alignment wrapText="1"/>
    </xf>
    <xf numFmtId="3" fontId="12" fillId="3" borderId="0" xfId="1" applyNumberFormat="1" applyFont="1" applyFill="1"/>
    <xf numFmtId="0" fontId="12" fillId="2" borderId="0" xfId="1" applyFont="1" applyFill="1" applyAlignment="1">
      <alignment horizontal="right"/>
    </xf>
    <xf numFmtId="3" fontId="16" fillId="2" borderId="0" xfId="1" applyNumberFormat="1" applyFont="1" applyFill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6" fillId="3" borderId="0" xfId="1" applyFont="1" applyFill="1"/>
    <xf numFmtId="0" fontId="16" fillId="2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3" fontId="16" fillId="3" borderId="1" xfId="1" applyNumberFormat="1" applyFont="1" applyFill="1" applyBorder="1" applyAlignment="1">
      <alignment horizontal="center" vertical="center"/>
    </xf>
    <xf numFmtId="0" fontId="16" fillId="2" borderId="1" xfId="1" applyFont="1" applyFill="1" applyBorder="1" applyAlignment="1">
      <alignment horizontal="center" wrapText="1"/>
    </xf>
    <xf numFmtId="0" fontId="16" fillId="2" borderId="1" xfId="1" applyFont="1" applyFill="1" applyBorder="1" applyAlignment="1">
      <alignment horizontal="left" wrapText="1"/>
    </xf>
    <xf numFmtId="3" fontId="16" fillId="2" borderId="1" xfId="1" applyNumberFormat="1" applyFont="1" applyFill="1" applyBorder="1"/>
    <xf numFmtId="3" fontId="16" fillId="2" borderId="1" xfId="1" applyNumberFormat="1" applyFont="1" applyFill="1" applyBorder="1" applyAlignment="1">
      <alignment wrapText="1"/>
    </xf>
    <xf numFmtId="3" fontId="16" fillId="3" borderId="0" xfId="1" applyNumberFormat="1" applyFont="1" applyFill="1"/>
    <xf numFmtId="0" fontId="16" fillId="2" borderId="1" xfId="1" applyFont="1" applyFill="1" applyBorder="1" applyAlignment="1">
      <alignment wrapText="1"/>
    </xf>
    <xf numFmtId="0" fontId="12" fillId="2" borderId="1" xfId="1" applyFont="1" applyFill="1" applyBorder="1" applyAlignment="1">
      <alignment horizontal="center" wrapText="1"/>
    </xf>
    <xf numFmtId="0" fontId="12" fillId="3" borderId="1" xfId="1" applyFont="1" applyFill="1" applyBorder="1" applyAlignment="1">
      <alignment wrapText="1"/>
    </xf>
    <xf numFmtId="3" fontId="12" fillId="2" borderId="1" xfId="1" applyNumberFormat="1" applyFont="1" applyFill="1" applyBorder="1"/>
    <xf numFmtId="4" fontId="12" fillId="2" borderId="0" xfId="1" applyNumberFormat="1" applyFont="1" applyFill="1"/>
    <xf numFmtId="0" fontId="9" fillId="2" borderId="1" xfId="1" applyFont="1" applyFill="1" applyBorder="1" applyAlignment="1">
      <alignment wrapText="1"/>
    </xf>
    <xf numFmtId="3" fontId="12" fillId="2" borderId="1" xfId="1" applyNumberFormat="1" applyFont="1" applyFill="1" applyBorder="1" applyAlignment="1">
      <alignment wrapText="1"/>
    </xf>
    <xf numFmtId="0" fontId="16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vertical="center" wrapText="1"/>
    </xf>
    <xf numFmtId="0" fontId="10" fillId="2" borderId="1" xfId="1" applyFont="1" applyFill="1" applyBorder="1" applyAlignment="1">
      <alignment wrapText="1"/>
    </xf>
    <xf numFmtId="0" fontId="16" fillId="3" borderId="1" xfId="1" applyFont="1" applyFill="1" applyBorder="1" applyAlignment="1">
      <alignment horizontal="center"/>
    </xf>
    <xf numFmtId="0" fontId="12" fillId="3" borderId="1" xfId="1" applyFont="1" applyFill="1" applyBorder="1" applyAlignment="1">
      <alignment horizont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left" vertical="center" wrapText="1"/>
    </xf>
    <xf numFmtId="0" fontId="12" fillId="0" borderId="0" xfId="1" applyFont="1" applyAlignment="1">
      <alignment wrapText="1"/>
    </xf>
    <xf numFmtId="0" fontId="12" fillId="0" borderId="1" xfId="3" applyFont="1" applyBorder="1" applyAlignment="1">
      <alignment vertical="center" wrapText="1"/>
    </xf>
    <xf numFmtId="0" fontId="16" fillId="3" borderId="1" xfId="1" applyFont="1" applyFill="1" applyBorder="1" applyAlignment="1">
      <alignment horizontal="center" wrapText="1"/>
    </xf>
    <xf numFmtId="0" fontId="16" fillId="3" borderId="1" xfId="1" applyFont="1" applyFill="1" applyBorder="1" applyAlignment="1">
      <alignment wrapText="1"/>
    </xf>
    <xf numFmtId="0" fontId="12" fillId="3" borderId="1" xfId="1" applyFont="1" applyFill="1" applyBorder="1" applyAlignment="1">
      <alignment horizontal="center" wrapText="1"/>
    </xf>
    <xf numFmtId="3" fontId="12" fillId="3" borderId="1" xfId="1" applyNumberFormat="1" applyFont="1" applyFill="1" applyBorder="1"/>
    <xf numFmtId="3" fontId="12" fillId="3" borderId="1" xfId="1" applyNumberFormat="1" applyFont="1" applyFill="1" applyBorder="1" applyAlignment="1">
      <alignment wrapText="1"/>
    </xf>
    <xf numFmtId="3" fontId="16" fillId="3" borderId="1" xfId="1" applyNumberFormat="1" applyFont="1" applyFill="1" applyBorder="1"/>
    <xf numFmtId="3" fontId="16" fillId="3" borderId="1" xfId="1" applyNumberFormat="1" applyFont="1" applyFill="1" applyBorder="1" applyAlignment="1">
      <alignment wrapText="1"/>
    </xf>
    <xf numFmtId="0" fontId="12" fillId="3" borderId="1" xfId="1" applyFont="1" applyFill="1" applyBorder="1" applyAlignment="1">
      <alignment horizontal="left" wrapText="1"/>
    </xf>
    <xf numFmtId="4" fontId="16" fillId="3" borderId="0" xfId="1" applyNumberFormat="1" applyFont="1" applyFill="1"/>
    <xf numFmtId="4" fontId="16" fillId="2" borderId="0" xfId="1" applyNumberFormat="1" applyFont="1" applyFill="1"/>
    <xf numFmtId="3" fontId="19" fillId="2" borderId="0" xfId="1" applyNumberFormat="1" applyFont="1" applyFill="1"/>
    <xf numFmtId="0" fontId="16" fillId="3" borderId="0" xfId="1" applyFont="1" applyFill="1" applyAlignment="1">
      <alignment wrapText="1"/>
    </xf>
    <xf numFmtId="0" fontId="12" fillId="3" borderId="1" xfId="1" applyFont="1" applyFill="1" applyBorder="1" applyAlignment="1">
      <alignment horizontal="center" vertical="center" wrapText="1"/>
    </xf>
    <xf numFmtId="0" fontId="12" fillId="3" borderId="1" xfId="1" applyFont="1" applyFill="1" applyBorder="1" applyAlignment="1">
      <alignment vertical="center" wrapText="1"/>
    </xf>
    <xf numFmtId="0" fontId="16" fillId="2" borderId="1" xfId="1" applyFont="1" applyFill="1" applyBorder="1" applyAlignment="1">
      <alignment vertical="center" wrapText="1"/>
    </xf>
    <xf numFmtId="0" fontId="16" fillId="0" borderId="0" xfId="1" applyFont="1"/>
    <xf numFmtId="0" fontId="16" fillId="3" borderId="0" xfId="1" applyFont="1" applyFill="1" applyAlignment="1">
      <alignment vertical="center" wrapText="1"/>
    </xf>
    <xf numFmtId="49" fontId="12" fillId="2" borderId="1" xfId="1" applyNumberFormat="1" applyFont="1" applyFill="1" applyBorder="1" applyAlignment="1">
      <alignment vertical="center" wrapText="1"/>
    </xf>
    <xf numFmtId="3" fontId="12" fillId="2" borderId="3" xfId="1" applyNumberFormat="1" applyFont="1" applyFill="1" applyBorder="1"/>
    <xf numFmtId="3" fontId="12" fillId="2" borderId="3" xfId="1" applyNumberFormat="1" applyFont="1" applyFill="1" applyBorder="1" applyAlignment="1">
      <alignment wrapText="1"/>
    </xf>
    <xf numFmtId="3" fontId="12" fillId="0" borderId="1" xfId="1" applyNumberFormat="1" applyFont="1" applyBorder="1"/>
    <xf numFmtId="0" fontId="20" fillId="2" borderId="1" xfId="1" applyFont="1" applyFill="1" applyBorder="1" applyAlignment="1">
      <alignment horizontal="center" wrapText="1"/>
    </xf>
    <xf numFmtId="3" fontId="20" fillId="2" borderId="1" xfId="1" applyNumberFormat="1" applyFont="1" applyFill="1" applyBorder="1"/>
    <xf numFmtId="3" fontId="20" fillId="2" borderId="1" xfId="1" applyNumberFormat="1" applyFont="1" applyFill="1" applyBorder="1" applyAlignment="1">
      <alignment wrapText="1"/>
    </xf>
    <xf numFmtId="3" fontId="21" fillId="3" borderId="0" xfId="1" applyNumberFormat="1" applyFont="1" applyFill="1"/>
    <xf numFmtId="0" fontId="21" fillId="2" borderId="0" xfId="1" applyFont="1" applyFill="1"/>
    <xf numFmtId="0" fontId="12" fillId="0" borderId="0" xfId="1" applyFont="1" applyAlignment="1">
      <alignment horizontal="center"/>
    </xf>
    <xf numFmtId="0" fontId="12" fillId="0" borderId="0" xfId="1" applyFont="1" applyAlignment="1">
      <alignment vertical="center"/>
    </xf>
    <xf numFmtId="3" fontId="12" fillId="0" borderId="0" xfId="1" applyNumberFormat="1" applyFont="1"/>
    <xf numFmtId="0" fontId="12" fillId="2" borderId="0" xfId="1" applyFont="1" applyFill="1" applyAlignment="1">
      <alignment horizontal="center"/>
    </xf>
    <xf numFmtId="3" fontId="12" fillId="2" borderId="0" xfId="1" applyNumberFormat="1" applyFont="1" applyFill="1"/>
    <xf numFmtId="0" fontId="9" fillId="0" borderId="0" xfId="1" applyFont="1" applyAlignment="1">
      <alignment horizontal="center"/>
    </xf>
    <xf numFmtId="0" fontId="22" fillId="0" borderId="0" xfId="1" applyFont="1" applyAlignment="1">
      <alignment wrapText="1"/>
    </xf>
    <xf numFmtId="0" fontId="11" fillId="0" borderId="0" xfId="1" applyFont="1" applyAlignment="1">
      <alignment horizontal="center" vertical="center" wrapText="1"/>
    </xf>
    <xf numFmtId="0" fontId="14" fillId="0" borderId="0" xfId="1" applyFont="1"/>
    <xf numFmtId="49" fontId="12" fillId="0" borderId="0" xfId="1" applyNumberFormat="1" applyFont="1"/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/>
    </xf>
    <xf numFmtId="0" fontId="16" fillId="0" borderId="1" xfId="1" applyFont="1" applyBorder="1" applyAlignment="1">
      <alignment horizontal="center" wrapText="1"/>
    </xf>
    <xf numFmtId="0" fontId="16" fillId="0" borderId="1" xfId="1" applyFont="1" applyBorder="1" applyAlignment="1">
      <alignment horizontal="left" wrapText="1"/>
    </xf>
    <xf numFmtId="3" fontId="16" fillId="0" borderId="1" xfId="1" applyNumberFormat="1" applyFont="1" applyBorder="1"/>
    <xf numFmtId="3" fontId="16" fillId="0" borderId="1" xfId="1" applyNumberFormat="1" applyFont="1" applyBorder="1" applyAlignment="1">
      <alignment wrapText="1"/>
    </xf>
    <xf numFmtId="0" fontId="16" fillId="0" borderId="1" xfId="1" applyFont="1" applyBorder="1" applyAlignment="1">
      <alignment wrapText="1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wrapText="1"/>
    </xf>
    <xf numFmtId="4" fontId="12" fillId="0" borderId="0" xfId="1" applyNumberFormat="1" applyFont="1"/>
    <xf numFmtId="0" fontId="12" fillId="0" borderId="1" xfId="1" applyFont="1" applyBorder="1" applyAlignment="1">
      <alignment horizontal="center"/>
    </xf>
    <xf numFmtId="0" fontId="9" fillId="0" borderId="1" xfId="1" applyFont="1" applyBorder="1" applyAlignment="1">
      <alignment wrapText="1"/>
    </xf>
    <xf numFmtId="3" fontId="12" fillId="0" borderId="1" xfId="1" applyNumberFormat="1" applyFont="1" applyBorder="1" applyAlignment="1">
      <alignment wrapText="1"/>
    </xf>
    <xf numFmtId="0" fontId="16" fillId="0" borderId="4" xfId="1" applyFont="1" applyBorder="1" applyAlignment="1">
      <alignment horizontal="center" vertical="center" wrapText="1"/>
    </xf>
    <xf numFmtId="0" fontId="16" fillId="0" borderId="4" xfId="1" applyFont="1" applyBorder="1" applyAlignment="1">
      <alignment vertical="center" wrapText="1"/>
    </xf>
    <xf numFmtId="0" fontId="24" fillId="0" borderId="4" xfId="1" applyFont="1" applyBorder="1" applyAlignment="1">
      <alignment horizontal="center" vertical="center" wrapText="1"/>
    </xf>
    <xf numFmtId="0" fontId="24" fillId="0" borderId="4" xfId="1" applyFont="1" applyBorder="1" applyAlignment="1">
      <alignment vertical="center" wrapText="1"/>
    </xf>
    <xf numFmtId="0" fontId="12" fillId="0" borderId="4" xfId="1" applyFont="1" applyBorder="1" applyAlignment="1">
      <alignment horizontal="center" vertical="center" wrapText="1"/>
    </xf>
    <xf numFmtId="0" fontId="12" fillId="0" borderId="4" xfId="1" applyFont="1" applyBorder="1" applyAlignment="1">
      <alignment vertical="center" wrapText="1"/>
    </xf>
    <xf numFmtId="0" fontId="10" fillId="0" borderId="1" xfId="1" applyFont="1" applyBorder="1" applyAlignment="1">
      <alignment wrapText="1"/>
    </xf>
    <xf numFmtId="0" fontId="16" fillId="0" borderId="1" xfId="1" applyFont="1" applyBorder="1" applyAlignment="1">
      <alignment horizontal="center"/>
    </xf>
    <xf numFmtId="0" fontId="12" fillId="0" borderId="1" xfId="1" applyFont="1" applyBorder="1" applyAlignment="1">
      <alignment horizontal="left" wrapText="1"/>
    </xf>
    <xf numFmtId="0" fontId="25" fillId="0" borderId="1" xfId="1" applyFont="1" applyBorder="1" applyAlignment="1">
      <alignment horizontal="center" wrapText="1"/>
    </xf>
    <xf numFmtId="0" fontId="25" fillId="0" borderId="1" xfId="1" applyFont="1" applyBorder="1" applyAlignment="1">
      <alignment wrapText="1"/>
    </xf>
    <xf numFmtId="3" fontId="25" fillId="0" borderId="1" xfId="1" applyNumberFormat="1" applyFont="1" applyBorder="1"/>
    <xf numFmtId="3" fontId="25" fillId="0" borderId="1" xfId="1" applyNumberFormat="1" applyFont="1" applyBorder="1" applyAlignment="1">
      <alignment wrapText="1"/>
    </xf>
    <xf numFmtId="0" fontId="25" fillId="0" borderId="0" xfId="1" applyFont="1"/>
    <xf numFmtId="0" fontId="16" fillId="0" borderId="1" xfId="1" applyFont="1" applyBorder="1"/>
    <xf numFmtId="0" fontId="16" fillId="0" borderId="3" xfId="1" applyFont="1" applyBorder="1" applyAlignment="1">
      <alignment horizontal="center" wrapText="1"/>
    </xf>
    <xf numFmtId="3" fontId="16" fillId="0" borderId="3" xfId="1" applyNumberFormat="1" applyFont="1" applyBorder="1"/>
    <xf numFmtId="3" fontId="16" fillId="0" borderId="3" xfId="1" applyNumberFormat="1" applyFont="1" applyBorder="1" applyAlignment="1">
      <alignment wrapText="1"/>
    </xf>
    <xf numFmtId="49" fontId="12" fillId="0" borderId="1" xfId="1" applyNumberFormat="1" applyFont="1" applyBorder="1" applyAlignment="1">
      <alignment wrapText="1"/>
    </xf>
    <xf numFmtId="3" fontId="12" fillId="0" borderId="3" xfId="1" applyNumberFormat="1" applyFont="1" applyBorder="1"/>
    <xf numFmtId="3" fontId="12" fillId="0" borderId="3" xfId="1" applyNumberFormat="1" applyFont="1" applyBorder="1" applyAlignment="1">
      <alignment wrapText="1"/>
    </xf>
    <xf numFmtId="0" fontId="20" fillId="0" borderId="1" xfId="1" applyFont="1" applyBorder="1" applyAlignment="1">
      <alignment horizontal="center" wrapText="1"/>
    </xf>
    <xf numFmtId="0" fontId="20" fillId="0" borderId="1" xfId="1" applyFont="1" applyBorder="1" applyAlignment="1">
      <alignment wrapText="1"/>
    </xf>
    <xf numFmtId="3" fontId="20" fillId="0" borderId="1" xfId="1" applyNumberFormat="1" applyFont="1" applyBorder="1"/>
    <xf numFmtId="3" fontId="20" fillId="0" borderId="1" xfId="1" applyNumberFormat="1" applyFont="1" applyBorder="1" applyAlignment="1">
      <alignment wrapText="1"/>
    </xf>
    <xf numFmtId="0" fontId="21" fillId="0" borderId="0" xfId="1" applyFont="1"/>
    <xf numFmtId="0" fontId="12" fillId="0" borderId="0" xfId="4" applyFont="1"/>
    <xf numFmtId="49" fontId="9" fillId="2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vertical="center"/>
    </xf>
    <xf numFmtId="0" fontId="10" fillId="2" borderId="0" xfId="1" applyFont="1" applyFill="1"/>
    <xf numFmtId="0" fontId="23" fillId="2" borderId="0" xfId="1" applyFont="1" applyFill="1" applyAlignment="1">
      <alignment horizontal="center" vertical="center" wrapText="1"/>
    </xf>
    <xf numFmtId="0" fontId="9" fillId="2" borderId="0" xfId="1" applyFont="1" applyFill="1" applyAlignment="1">
      <alignment horizontal="right" vertical="top"/>
    </xf>
    <xf numFmtId="3" fontId="9" fillId="2" borderId="1" xfId="1" applyNumberFormat="1" applyFont="1" applyFill="1" applyBorder="1" applyAlignment="1">
      <alignment horizontal="center" vertical="distributed"/>
    </xf>
    <xf numFmtId="3" fontId="9" fillId="2" borderId="0" xfId="1" applyNumberFormat="1" applyFont="1" applyFill="1" applyAlignment="1">
      <alignment vertical="distributed"/>
    </xf>
    <xf numFmtId="49" fontId="10" fillId="2" borderId="1" xfId="1" applyNumberFormat="1" applyFont="1" applyFill="1" applyBorder="1" applyAlignment="1">
      <alignment horizontal="center" vertical="center"/>
    </xf>
    <xf numFmtId="49" fontId="10" fillId="2" borderId="1" xfId="1" applyNumberFormat="1" applyFont="1" applyFill="1" applyBorder="1" applyAlignment="1">
      <alignment horizontal="center" vertical="distributed" wrapText="1"/>
    </xf>
    <xf numFmtId="165" fontId="10" fillId="2" borderId="1" xfId="1" applyNumberFormat="1" applyFont="1" applyFill="1" applyBorder="1" applyAlignment="1">
      <alignment horizontal="left" vertical="center" wrapText="1"/>
    </xf>
    <xf numFmtId="4" fontId="10" fillId="2" borderId="1" xfId="1" applyNumberFormat="1" applyFont="1" applyFill="1" applyBorder="1" applyAlignment="1">
      <alignment horizontal="right" vertical="center" wrapText="1"/>
    </xf>
    <xf numFmtId="0" fontId="10" fillId="2" borderId="0" xfId="1" applyFont="1" applyFill="1" applyAlignment="1">
      <alignment vertical="distributed"/>
    </xf>
    <xf numFmtId="3" fontId="10" fillId="2" borderId="0" xfId="1" applyNumberFormat="1" applyFont="1" applyFill="1" applyAlignment="1">
      <alignment vertical="distributed"/>
    </xf>
    <xf numFmtId="3" fontId="9" fillId="2" borderId="0" xfId="1" applyNumberFormat="1" applyFont="1" applyFill="1"/>
    <xf numFmtId="49" fontId="9" fillId="2" borderId="1" xfId="1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distributed" wrapText="1"/>
    </xf>
    <xf numFmtId="4" fontId="9" fillId="2" borderId="1" xfId="1" applyNumberFormat="1" applyFont="1" applyFill="1" applyBorder="1" applyAlignment="1">
      <alignment horizontal="right" vertical="center" wrapText="1"/>
    </xf>
    <xf numFmtId="0" fontId="9" fillId="2" borderId="0" xfId="1" applyFont="1" applyFill="1" applyAlignment="1">
      <alignment vertical="distributed"/>
    </xf>
    <xf numFmtId="49" fontId="12" fillId="2" borderId="1" xfId="1" applyNumberFormat="1" applyFont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distributed" wrapText="1"/>
    </xf>
    <xf numFmtId="165" fontId="12" fillId="2" borderId="1" xfId="1" applyNumberFormat="1" applyFont="1" applyFill="1" applyBorder="1" applyAlignment="1">
      <alignment vertical="center" wrapText="1"/>
    </xf>
    <xf numFmtId="4" fontId="12" fillId="2" borderId="1" xfId="1" applyNumberFormat="1" applyFont="1" applyFill="1" applyBorder="1" applyAlignment="1">
      <alignment horizontal="right" vertical="center" wrapText="1"/>
    </xf>
    <xf numFmtId="0" fontId="12" fillId="2" borderId="0" xfId="1" applyFont="1" applyFill="1" applyAlignment="1">
      <alignment vertical="distributed"/>
    </xf>
    <xf numFmtId="3" fontId="16" fillId="2" borderId="0" xfId="1" applyNumberFormat="1" applyFont="1" applyFill="1" applyAlignment="1">
      <alignment vertical="distributed"/>
    </xf>
    <xf numFmtId="49" fontId="12" fillId="2" borderId="1" xfId="1" applyNumberFormat="1" applyFont="1" applyFill="1" applyBorder="1" applyAlignment="1">
      <alignment horizontal="center" vertical="center" wrapText="1"/>
    </xf>
    <xf numFmtId="4" fontId="12" fillId="2" borderId="1" xfId="5" applyNumberFormat="1" applyFont="1" applyFill="1" applyBorder="1" applyAlignment="1">
      <alignment horizontal="right" vertical="center"/>
    </xf>
    <xf numFmtId="49" fontId="28" fillId="2" borderId="1" xfId="1" applyNumberFormat="1" applyFont="1" applyFill="1" applyBorder="1" applyAlignment="1">
      <alignment horizontal="center" vertical="center"/>
    </xf>
    <xf numFmtId="49" fontId="28" fillId="2" borderId="1" xfId="1" applyNumberFormat="1" applyFont="1" applyFill="1" applyBorder="1" applyAlignment="1">
      <alignment horizontal="center" vertical="center" wrapText="1"/>
    </xf>
    <xf numFmtId="165" fontId="28" fillId="2" borderId="1" xfId="1" applyNumberFormat="1" applyFont="1" applyFill="1" applyBorder="1" applyAlignment="1">
      <alignment vertical="center" wrapText="1"/>
    </xf>
    <xf numFmtId="3" fontId="28" fillId="2" borderId="1" xfId="5" applyNumberFormat="1" applyFont="1" applyFill="1" applyBorder="1" applyAlignment="1">
      <alignment horizontal="right" vertical="center"/>
    </xf>
    <xf numFmtId="3" fontId="28" fillId="2" borderId="1" xfId="1" applyNumberFormat="1" applyFont="1" applyFill="1" applyBorder="1" applyAlignment="1">
      <alignment horizontal="right" vertical="center" wrapText="1"/>
    </xf>
    <xf numFmtId="0" fontId="28" fillId="2" borderId="0" xfId="1" applyFont="1" applyFill="1" applyAlignment="1">
      <alignment vertical="distributed"/>
    </xf>
    <xf numFmtId="0" fontId="12" fillId="2" borderId="1" xfId="1" applyFont="1" applyFill="1" applyBorder="1" applyAlignment="1">
      <alignment vertical="center" wrapText="1"/>
    </xf>
    <xf numFmtId="49" fontId="12" fillId="2" borderId="1" xfId="5" applyNumberFormat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wrapText="1"/>
    </xf>
    <xf numFmtId="49" fontId="28" fillId="2" borderId="1" xfId="5" applyNumberFormat="1" applyFont="1" applyFill="1" applyBorder="1" applyAlignment="1">
      <alignment horizontal="center" vertical="center"/>
    </xf>
    <xf numFmtId="0" fontId="28" fillId="2" borderId="1" xfId="1" applyFont="1" applyFill="1" applyBorder="1" applyAlignment="1">
      <alignment wrapText="1"/>
    </xf>
    <xf numFmtId="0" fontId="12" fillId="2" borderId="1" xfId="1" applyFont="1" applyFill="1" applyBorder="1" applyAlignment="1">
      <alignment horizontal="justify" vertical="center" wrapText="1"/>
    </xf>
    <xf numFmtId="0" fontId="12" fillId="2" borderId="1" xfId="1" applyFont="1" applyFill="1" applyBorder="1" applyAlignment="1">
      <alignment horizontal="left" vertical="center" wrapText="1"/>
    </xf>
    <xf numFmtId="3" fontId="12" fillId="2" borderId="1" xfId="1" applyNumberFormat="1" applyFont="1" applyFill="1" applyBorder="1" applyAlignment="1">
      <alignment horizontal="right" vertical="center" wrapText="1"/>
    </xf>
    <xf numFmtId="4" fontId="12" fillId="2" borderId="1" xfId="1" applyNumberFormat="1" applyFont="1" applyFill="1" applyBorder="1" applyAlignment="1">
      <alignment vertical="center" wrapText="1"/>
    </xf>
    <xf numFmtId="0" fontId="9" fillId="2" borderId="1" xfId="1" applyFont="1" applyFill="1" applyBorder="1" applyAlignment="1">
      <alignment horizontal="justify" vertical="center" wrapText="1"/>
    </xf>
    <xf numFmtId="0" fontId="9" fillId="2" borderId="1" xfId="1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29" fillId="2" borderId="1" xfId="1" applyFont="1" applyFill="1" applyBorder="1" applyAlignment="1">
      <alignment horizontal="left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" fontId="30" fillId="4" borderId="1" xfId="6" applyNumberFormat="1" applyFont="1" applyFill="1" applyBorder="1" applyAlignment="1">
      <alignment vertical="center" wrapText="1"/>
    </xf>
    <xf numFmtId="4" fontId="9" fillId="2" borderId="1" xfId="5" applyNumberFormat="1" applyFont="1" applyFill="1" applyBorder="1" applyAlignment="1">
      <alignment horizontal="right" vertical="center"/>
    </xf>
    <xf numFmtId="165" fontId="9" fillId="2" borderId="1" xfId="1" applyNumberFormat="1" applyFont="1" applyFill="1" applyBorder="1" applyAlignment="1">
      <alignment horizontal="left" vertical="center" wrapText="1"/>
    </xf>
    <xf numFmtId="165" fontId="12" fillId="2" borderId="1" xfId="1" applyNumberFormat="1" applyFont="1" applyFill="1" applyBorder="1" applyAlignment="1">
      <alignment horizontal="left" vertical="center" wrapText="1"/>
    </xf>
    <xf numFmtId="4" fontId="12" fillId="2" borderId="1" xfId="7" applyNumberFormat="1" applyFont="1" applyFill="1" applyBorder="1" applyAlignment="1">
      <alignment vertical="center"/>
    </xf>
    <xf numFmtId="165" fontId="32" fillId="2" borderId="1" xfId="1" applyNumberFormat="1" applyFont="1" applyFill="1" applyBorder="1" applyAlignment="1">
      <alignment vertical="center" wrapText="1"/>
    </xf>
    <xf numFmtId="3" fontId="12" fillId="2" borderId="1" xfId="5" applyNumberFormat="1" applyFont="1" applyFill="1" applyBorder="1" applyAlignment="1">
      <alignment horizontal="right" vertical="center"/>
    </xf>
    <xf numFmtId="49" fontId="28" fillId="2" borderId="1" xfId="1" applyNumberFormat="1" applyFont="1" applyFill="1" applyBorder="1" applyAlignment="1">
      <alignment horizontal="center" vertical="distributed" wrapText="1"/>
    </xf>
    <xf numFmtId="0" fontId="28" fillId="2" borderId="1" xfId="1" applyFont="1" applyFill="1" applyBorder="1" applyAlignment="1">
      <alignment vertical="center" wrapText="1"/>
    </xf>
    <xf numFmtId="0" fontId="28" fillId="2" borderId="0" xfId="1" applyFont="1" applyFill="1"/>
    <xf numFmtId="4" fontId="28" fillId="2" borderId="1" xfId="5" applyNumberFormat="1" applyFont="1" applyFill="1" applyBorder="1" applyAlignment="1">
      <alignment horizontal="right" vertical="center"/>
    </xf>
    <xf numFmtId="4" fontId="28" fillId="2" borderId="1" xfId="1" applyNumberFormat="1" applyFont="1" applyFill="1" applyBorder="1" applyAlignment="1">
      <alignment horizontal="right" vertical="center" wrapText="1"/>
    </xf>
    <xf numFmtId="3" fontId="24" fillId="2" borderId="0" xfId="1" applyNumberFormat="1" applyFont="1" applyFill="1" applyAlignment="1">
      <alignment vertical="distributed"/>
    </xf>
    <xf numFmtId="3" fontId="28" fillId="2" borderId="0" xfId="1" applyNumberFormat="1" applyFont="1" applyFill="1"/>
    <xf numFmtId="165" fontId="9" fillId="2" borderId="1" xfId="1" applyNumberFormat="1" applyFont="1" applyFill="1" applyBorder="1" applyAlignment="1">
      <alignment vertical="center" wrapText="1"/>
    </xf>
    <xf numFmtId="0" fontId="9" fillId="2" borderId="1" xfId="1" applyFont="1" applyFill="1" applyBorder="1"/>
    <xf numFmtId="2" fontId="12" fillId="2" borderId="1" xfId="1" applyNumberFormat="1" applyFont="1" applyFill="1" applyBorder="1" applyAlignment="1">
      <alignment vertical="center" wrapText="1"/>
    </xf>
    <xf numFmtId="0" fontId="12" fillId="2" borderId="1" xfId="5" applyFont="1" applyFill="1" applyBorder="1" applyAlignment="1">
      <alignment horizontal="center" vertical="center"/>
    </xf>
    <xf numFmtId="0" fontId="9" fillId="2" borderId="1" xfId="1" applyFont="1" applyFill="1" applyBorder="1" applyAlignment="1">
      <alignment vertical="center" wrapText="1"/>
    </xf>
    <xf numFmtId="4" fontId="10" fillId="2" borderId="1" xfId="5" applyNumberFormat="1" applyFont="1" applyFill="1" applyBorder="1" applyAlignment="1">
      <alignment horizontal="right" vertical="center"/>
    </xf>
    <xf numFmtId="165" fontId="10" fillId="2" borderId="1" xfId="1" applyNumberFormat="1" applyFont="1" applyFill="1" applyBorder="1" applyAlignment="1">
      <alignment vertical="center" wrapText="1"/>
    </xf>
    <xf numFmtId="49" fontId="9" fillId="2" borderId="3" xfId="1" applyNumberFormat="1" applyFont="1" applyFill="1" applyBorder="1" applyAlignment="1">
      <alignment horizontal="center" vertical="center"/>
    </xf>
    <xf numFmtId="49" fontId="9" fillId="2" borderId="3" xfId="1" applyNumberFormat="1" applyFont="1" applyFill="1" applyBorder="1" applyAlignment="1">
      <alignment horizontal="center" vertical="distributed" wrapText="1"/>
    </xf>
    <xf numFmtId="49" fontId="9" fillId="2" borderId="1" xfId="5" applyNumberFormat="1" applyFont="1" applyFill="1" applyBorder="1" applyAlignment="1">
      <alignment horizontal="center"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" fontId="12" fillId="2" borderId="1" xfId="5" applyNumberFormat="1" applyFont="1" applyFill="1" applyBorder="1" applyAlignment="1">
      <alignment horizontal="right" vertical="center" wrapText="1"/>
    </xf>
    <xf numFmtId="49" fontId="9" fillId="2" borderId="1" xfId="5" applyNumberFormat="1" applyFont="1" applyFill="1" applyBorder="1" applyAlignment="1">
      <alignment horizontal="center" vertical="center" wrapText="1"/>
    </xf>
    <xf numFmtId="0" fontId="14" fillId="5" borderId="1" xfId="8" applyFont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vertical="center"/>
    </xf>
    <xf numFmtId="0" fontId="10" fillId="2" borderId="1" xfId="1" applyFont="1" applyFill="1" applyBorder="1" applyAlignment="1">
      <alignment horizontal="left" vertical="center" wrapText="1"/>
    </xf>
    <xf numFmtId="4" fontId="12" fillId="0" borderId="1" xfId="5" applyNumberFormat="1" applyFont="1" applyBorder="1" applyAlignment="1">
      <alignment horizontal="right" vertical="center"/>
    </xf>
    <xf numFmtId="4" fontId="12" fillId="0" borderId="1" xfId="1" applyNumberFormat="1" applyFont="1" applyBorder="1" applyAlignment="1">
      <alignment horizontal="right" vertical="center" wrapText="1"/>
    </xf>
    <xf numFmtId="1" fontId="9" fillId="0" borderId="1" xfId="1" applyNumberFormat="1" applyFont="1" applyBorder="1" applyAlignment="1">
      <alignment horizontal="center" vertical="center" wrapText="1"/>
    </xf>
    <xf numFmtId="49" fontId="9" fillId="0" borderId="1" xfId="1" applyNumberFormat="1" applyFont="1" applyBorder="1" applyAlignment="1">
      <alignment horizontal="center" vertical="center" wrapText="1"/>
    </xf>
    <xf numFmtId="0" fontId="9" fillId="0" borderId="1" xfId="8" applyFont="1" applyBorder="1" applyAlignment="1">
      <alignment horizontal="left" vertical="center" wrapText="1"/>
    </xf>
    <xf numFmtId="49" fontId="12" fillId="2" borderId="1" xfId="5" applyNumberFormat="1" applyFont="1" applyFill="1" applyBorder="1" applyAlignment="1">
      <alignment horizontal="center" vertical="center" wrapText="1"/>
    </xf>
    <xf numFmtId="0" fontId="34" fillId="2" borderId="0" xfId="1" applyFont="1" applyFill="1"/>
    <xf numFmtId="0" fontId="9" fillId="2" borderId="1" xfId="8" applyFont="1" applyFill="1" applyBorder="1" applyAlignment="1">
      <alignment horizontal="left" vertical="center" wrapText="1"/>
    </xf>
    <xf numFmtId="49" fontId="34" fillId="2" borderId="1" xfId="1" applyNumberFormat="1" applyFont="1" applyFill="1" applyBorder="1" applyAlignment="1">
      <alignment horizontal="center" vertical="center" wrapText="1"/>
    </xf>
    <xf numFmtId="49" fontId="35" fillId="2" borderId="1" xfId="1" applyNumberFormat="1" applyFont="1" applyFill="1" applyBorder="1" applyAlignment="1">
      <alignment horizontal="center" vertical="center" wrapText="1"/>
    </xf>
    <xf numFmtId="49" fontId="36" fillId="2" borderId="1" xfId="1" applyNumberFormat="1" applyFont="1" applyFill="1" applyBorder="1" applyAlignment="1">
      <alignment horizontal="center" vertical="center" wrapText="1"/>
    </xf>
    <xf numFmtId="0" fontId="35" fillId="2" borderId="1" xfId="8" applyFont="1" applyFill="1" applyBorder="1" applyAlignment="1">
      <alignment vertical="center" wrapText="1"/>
    </xf>
    <xf numFmtId="49" fontId="16" fillId="2" borderId="1" xfId="1" applyNumberFormat="1" applyFont="1" applyFill="1" applyBorder="1" applyAlignment="1">
      <alignment horizontal="center" vertical="center"/>
    </xf>
    <xf numFmtId="49" fontId="16" fillId="2" borderId="1" xfId="1" applyNumberFormat="1" applyFont="1" applyFill="1" applyBorder="1" applyAlignment="1">
      <alignment horizontal="center" vertical="distributed" wrapText="1"/>
    </xf>
    <xf numFmtId="165" fontId="16" fillId="2" borderId="1" xfId="1" applyNumberFormat="1" applyFont="1" applyFill="1" applyBorder="1" applyAlignment="1">
      <alignment horizontal="left" vertical="center" wrapText="1"/>
    </xf>
    <xf numFmtId="4" fontId="16" fillId="2" borderId="1" xfId="1" applyNumberFormat="1" applyFont="1" applyFill="1" applyBorder="1" applyAlignment="1">
      <alignment horizontal="right" vertical="center" wrapText="1"/>
    </xf>
    <xf numFmtId="0" fontId="16" fillId="2" borderId="0" xfId="1" applyFont="1" applyFill="1"/>
    <xf numFmtId="0" fontId="12" fillId="2" borderId="1" xfId="1" applyFont="1" applyFill="1" applyBorder="1" applyAlignment="1">
      <alignment horizontal="left" wrapText="1"/>
    </xf>
    <xf numFmtId="3" fontId="12" fillId="2" borderId="1" xfId="1" applyNumberFormat="1" applyFont="1" applyFill="1" applyBorder="1" applyAlignment="1">
      <alignment horizontal="right" vertical="center"/>
    </xf>
    <xf numFmtId="4" fontId="12" fillId="2" borderId="1" xfId="1" applyNumberFormat="1" applyFont="1" applyFill="1" applyBorder="1" applyAlignment="1">
      <alignment horizontal="right" vertical="center"/>
    </xf>
    <xf numFmtId="165" fontId="28" fillId="2" borderId="1" xfId="1" applyNumberFormat="1" applyFont="1" applyFill="1" applyBorder="1" applyAlignment="1">
      <alignment horizontal="left" vertical="center" wrapText="1"/>
    </xf>
    <xf numFmtId="4" fontId="28" fillId="2" borderId="1" xfId="1" applyNumberFormat="1" applyFont="1" applyFill="1" applyBorder="1" applyAlignment="1">
      <alignment horizontal="right" vertical="center"/>
    </xf>
    <xf numFmtId="0" fontId="10" fillId="2" borderId="1" xfId="9" applyFont="1" applyFill="1" applyBorder="1"/>
    <xf numFmtId="0" fontId="10" fillId="2" borderId="1" xfId="9" applyFont="1" applyFill="1" applyBorder="1" applyAlignment="1">
      <alignment horizontal="left"/>
    </xf>
    <xf numFmtId="4" fontId="10" fillId="2" borderId="1" xfId="1" applyNumberFormat="1" applyFont="1" applyFill="1" applyBorder="1" applyAlignment="1">
      <alignment horizontal="right" vertical="center"/>
    </xf>
    <xf numFmtId="49" fontId="9" fillId="0" borderId="0" xfId="1" applyNumberFormat="1" applyFont="1" applyAlignment="1">
      <alignment horizontal="center" vertical="center"/>
    </xf>
    <xf numFmtId="0" fontId="9" fillId="0" borderId="0" xfId="1" applyFont="1"/>
    <xf numFmtId="3" fontId="37" fillId="0" borderId="0" xfId="1" applyNumberFormat="1" applyFont="1" applyAlignment="1">
      <alignment vertical="center"/>
    </xf>
    <xf numFmtId="0" fontId="38" fillId="0" borderId="0" xfId="1" applyFont="1"/>
    <xf numFmtId="0" fontId="37" fillId="0" borderId="0" xfId="1" applyFont="1"/>
    <xf numFmtId="3" fontId="37" fillId="0" borderId="0" xfId="1" applyNumberFormat="1" applyFont="1"/>
    <xf numFmtId="3" fontId="38" fillId="0" borderId="0" xfId="1" applyNumberFormat="1" applyFont="1"/>
    <xf numFmtId="4" fontId="10" fillId="2" borderId="0" xfId="1" applyNumberFormat="1" applyFont="1" applyFill="1"/>
    <xf numFmtId="4" fontId="9" fillId="2" borderId="0" xfId="1" applyNumberFormat="1" applyFont="1" applyFill="1"/>
    <xf numFmtId="49" fontId="12" fillId="0" borderId="0" xfId="1" applyNumberFormat="1" applyFont="1" applyAlignment="1">
      <alignment horizontal="center" vertical="center"/>
    </xf>
    <xf numFmtId="3" fontId="16" fillId="0" borderId="0" xfId="1" applyNumberFormat="1" applyFont="1"/>
    <xf numFmtId="3" fontId="10" fillId="2" borderId="0" xfId="1" applyNumberFormat="1" applyFont="1" applyFill="1"/>
    <xf numFmtId="0" fontId="12" fillId="0" borderId="0" xfId="1" applyFont="1" applyAlignment="1">
      <alignment vertical="center" wrapText="1"/>
    </xf>
    <xf numFmtId="0" fontId="9" fillId="2" borderId="0" xfId="1" applyFont="1" applyFill="1" applyAlignment="1">
      <alignment vertical="center" wrapText="1"/>
    </xf>
    <xf numFmtId="0" fontId="23" fillId="2" borderId="0" xfId="1" applyFont="1" applyFill="1" applyAlignment="1">
      <alignment vertical="center" wrapText="1"/>
    </xf>
    <xf numFmtId="0" fontId="16" fillId="0" borderId="0" xfId="1" applyFont="1" applyAlignment="1">
      <alignment horizontal="center"/>
    </xf>
    <xf numFmtId="0" fontId="12" fillId="0" borderId="0" xfId="1" applyFont="1" applyAlignment="1">
      <alignment horizontal="right"/>
    </xf>
    <xf numFmtId="0" fontId="40" fillId="0" borderId="1" xfId="1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4" fontId="16" fillId="0" borderId="1" xfId="1" applyNumberFormat="1" applyFont="1" applyBorder="1" applyAlignment="1">
      <alignment horizontal="right" vertical="center"/>
    </xf>
    <xf numFmtId="4" fontId="16" fillId="0" borderId="1" xfId="1" applyNumberFormat="1" applyFont="1" applyBorder="1" applyAlignment="1">
      <alignment horizontal="right" vertical="center" wrapText="1"/>
    </xf>
    <xf numFmtId="0" fontId="10" fillId="0" borderId="4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left" vertical="center" wrapText="1"/>
    </xf>
    <xf numFmtId="0" fontId="9" fillId="0" borderId="4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left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right" vertical="center"/>
    </xf>
    <xf numFmtId="0" fontId="16" fillId="0" borderId="4" xfId="1" applyFont="1" applyBorder="1" applyAlignment="1">
      <alignment horizontal="left" vertical="center" wrapText="1"/>
    </xf>
    <xf numFmtId="4" fontId="16" fillId="0" borderId="4" xfId="1" applyNumberFormat="1" applyFont="1" applyBorder="1" applyAlignment="1">
      <alignment horizontal="right" vertical="center"/>
    </xf>
    <xf numFmtId="0" fontId="12" fillId="0" borderId="4" xfId="1" applyFont="1" applyBorder="1" applyAlignment="1">
      <alignment horizontal="left" vertical="center" wrapText="1"/>
    </xf>
    <xf numFmtId="4" fontId="12" fillId="0" borderId="7" xfId="1" applyNumberFormat="1" applyFont="1" applyBorder="1" applyAlignment="1">
      <alignment horizontal="right" vertical="center"/>
    </xf>
    <xf numFmtId="4" fontId="12" fillId="0" borderId="4" xfId="1" applyNumberFormat="1" applyFont="1" applyBorder="1" applyAlignment="1">
      <alignment horizontal="right" vertical="center"/>
    </xf>
    <xf numFmtId="0" fontId="9" fillId="0" borderId="7" xfId="1" applyFont="1" applyBorder="1" applyAlignment="1">
      <alignment horizontal="center" vertical="center" wrapText="1"/>
    </xf>
    <xf numFmtId="0" fontId="12" fillId="0" borderId="7" xfId="1" applyFont="1" applyBorder="1" applyAlignment="1">
      <alignment horizontal="left" vertical="center" wrapText="1"/>
    </xf>
    <xf numFmtId="4" fontId="12" fillId="0" borderId="7" xfId="1" applyNumberFormat="1" applyFont="1" applyBorder="1" applyAlignment="1">
      <alignment horizontal="right" vertical="center" wrapText="1"/>
    </xf>
    <xf numFmtId="0" fontId="16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2" fontId="16" fillId="0" borderId="1" xfId="1" applyNumberFormat="1" applyFont="1" applyBorder="1" applyAlignment="1">
      <alignment horizontal="left" vertical="center" wrapText="1"/>
    </xf>
    <xf numFmtId="0" fontId="16" fillId="0" borderId="1" xfId="1" applyFont="1" applyBorder="1" applyAlignment="1">
      <alignment horizontal="left" vertical="center"/>
    </xf>
    <xf numFmtId="0" fontId="12" fillId="0" borderId="1" xfId="1" applyFont="1" applyBorder="1" applyAlignment="1">
      <alignment horizontal="center" vertical="center"/>
    </xf>
    <xf numFmtId="0" fontId="41" fillId="0" borderId="0" xfId="10" applyFont="1"/>
    <xf numFmtId="0" fontId="41" fillId="2" borderId="0" xfId="1" applyFont="1" applyFill="1" applyAlignment="1">
      <alignment vertical="center" wrapText="1"/>
    </xf>
    <xf numFmtId="0" fontId="42" fillId="0" borderId="0" xfId="10" applyFont="1"/>
    <xf numFmtId="0" fontId="10" fillId="0" borderId="0" xfId="10" applyFont="1"/>
    <xf numFmtId="0" fontId="44" fillId="0" borderId="0" xfId="10" applyFont="1" applyAlignment="1">
      <alignment horizontal="left"/>
    </xf>
    <xf numFmtId="0" fontId="44" fillId="0" borderId="0" xfId="10" applyFont="1"/>
    <xf numFmtId="0" fontId="44" fillId="0" borderId="0" xfId="10" applyFont="1" applyAlignment="1">
      <alignment horizontal="right"/>
    </xf>
    <xf numFmtId="0" fontId="41" fillId="0" borderId="1" xfId="10" applyFont="1" applyBorder="1" applyAlignment="1">
      <alignment horizontal="center" vertical="top" wrapText="1"/>
    </xf>
    <xf numFmtId="0" fontId="41" fillId="0" borderId="3" xfId="10" applyFont="1" applyBorder="1" applyAlignment="1">
      <alignment horizontal="center" vertical="top" wrapText="1"/>
    </xf>
    <xf numFmtId="0" fontId="44" fillId="0" borderId="1" xfId="10" applyFont="1" applyBorder="1" applyAlignment="1">
      <alignment horizontal="center"/>
    </xf>
    <xf numFmtId="3" fontId="44" fillId="0" borderId="1" xfId="10" applyNumberFormat="1" applyFont="1" applyBorder="1" applyAlignment="1">
      <alignment horizontal="right"/>
    </xf>
    <xf numFmtId="0" fontId="41" fillId="0" borderId="8" xfId="10" applyFont="1" applyBorder="1" applyAlignment="1">
      <alignment horizontal="center" vertical="center"/>
    </xf>
    <xf numFmtId="0" fontId="41" fillId="0" borderId="8" xfId="10" applyFont="1" applyBorder="1" applyAlignment="1">
      <alignment horizontal="centerContinuous" vertical="center" wrapText="1"/>
    </xf>
    <xf numFmtId="0" fontId="41" fillId="0" borderId="9" xfId="10" applyFont="1" applyBorder="1" applyAlignment="1">
      <alignment horizontal="centerContinuous" vertical="center"/>
    </xf>
    <xf numFmtId="3" fontId="41" fillId="0" borderId="1" xfId="10" applyNumberFormat="1" applyFont="1" applyBorder="1" applyAlignment="1">
      <alignment horizontal="right"/>
    </xf>
    <xf numFmtId="0" fontId="41" fillId="0" borderId="1" xfId="10" applyFont="1" applyBorder="1" applyAlignment="1">
      <alignment horizontal="center" vertical="center"/>
    </xf>
    <xf numFmtId="0" fontId="41" fillId="0" borderId="1" xfId="10" applyFont="1" applyBorder="1" applyAlignment="1">
      <alignment horizontal="centerContinuous" vertical="center" wrapText="1"/>
    </xf>
    <xf numFmtId="3" fontId="41" fillId="0" borderId="1" xfId="10" applyNumberFormat="1" applyFont="1" applyBorder="1" applyAlignment="1">
      <alignment horizontal="right" vertical="center"/>
    </xf>
    <xf numFmtId="0" fontId="41" fillId="0" borderId="1" xfId="10" applyFont="1" applyBorder="1" applyAlignment="1">
      <alignment horizontal="centerContinuous" vertical="center"/>
    </xf>
    <xf numFmtId="49" fontId="45" fillId="2" borderId="1" xfId="1" applyNumberFormat="1" applyFont="1" applyFill="1" applyBorder="1" applyAlignment="1">
      <alignment horizontal="center" vertical="center"/>
    </xf>
    <xf numFmtId="0" fontId="45" fillId="2" borderId="1" xfId="1" applyFont="1" applyFill="1" applyBorder="1" applyAlignment="1">
      <alignment vertical="center" wrapText="1"/>
    </xf>
    <xf numFmtId="0" fontId="41" fillId="0" borderId="1" xfId="10" applyFont="1" applyBorder="1" applyAlignment="1">
      <alignment horizontal="left" vertical="center" wrapText="1"/>
    </xf>
    <xf numFmtId="3" fontId="45" fillId="2" borderId="1" xfId="1" applyNumberFormat="1" applyFont="1" applyFill="1" applyBorder="1" applyAlignment="1">
      <alignment vertical="center" wrapText="1"/>
    </xf>
    <xf numFmtId="0" fontId="45" fillId="0" borderId="1" xfId="1" applyFont="1" applyBorder="1" applyAlignment="1">
      <alignment horizontal="center" vertical="center" wrapText="1"/>
    </xf>
    <xf numFmtId="3" fontId="45" fillId="0" borderId="1" xfId="1" applyNumberFormat="1" applyFont="1" applyBorder="1"/>
    <xf numFmtId="0" fontId="9" fillId="0" borderId="0" xfId="10" applyFont="1"/>
    <xf numFmtId="0" fontId="44" fillId="0" borderId="1" xfId="10" applyFont="1" applyBorder="1" applyAlignment="1">
      <alignment horizontal="centerContinuous" vertical="center"/>
    </xf>
    <xf numFmtId="0" fontId="44" fillId="0" borderId="1" xfId="10" applyFont="1" applyBorder="1" applyAlignment="1">
      <alignment horizontal="left" vertical="center"/>
    </xf>
    <xf numFmtId="166" fontId="44" fillId="0" borderId="1" xfId="10" applyNumberFormat="1" applyFont="1" applyBorder="1" applyAlignment="1">
      <alignment horizontal="center"/>
    </xf>
    <xf numFmtId="166" fontId="44" fillId="0" borderId="1" xfId="10" applyNumberFormat="1" applyFont="1" applyBorder="1" applyAlignment="1">
      <alignment horizontal="center" vertical="center"/>
    </xf>
    <xf numFmtId="166" fontId="44" fillId="0" borderId="1" xfId="10" applyNumberFormat="1" applyFont="1" applyBorder="1" applyAlignment="1">
      <alignment horizontal="left" vertical="center"/>
    </xf>
    <xf numFmtId="0" fontId="8" fillId="0" borderId="0" xfId="1"/>
    <xf numFmtId="0" fontId="12" fillId="2" borderId="0" xfId="1" applyFont="1" applyFill="1" applyAlignment="1">
      <alignment horizontal="center" vertical="center"/>
    </xf>
    <xf numFmtId="49" fontId="23" fillId="2" borderId="0" xfId="1" applyNumberFormat="1" applyFont="1" applyFill="1" applyAlignment="1">
      <alignment vertical="center"/>
    </xf>
    <xf numFmtId="0" fontId="13" fillId="2" borderId="0" xfId="1" applyFont="1" applyFill="1" applyAlignment="1">
      <alignment horizontal="center" vertical="center" wrapText="1"/>
    </xf>
    <xf numFmtId="0" fontId="12" fillId="2" borderId="0" xfId="1" applyFont="1" applyFill="1" applyAlignment="1">
      <alignment vertical="center"/>
    </xf>
    <xf numFmtId="1" fontId="12" fillId="2" borderId="0" xfId="1" applyNumberFormat="1" applyFont="1" applyFill="1"/>
    <xf numFmtId="0" fontId="16" fillId="2" borderId="1" xfId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vertical="center"/>
    </xf>
    <xf numFmtId="49" fontId="16" fillId="2" borderId="1" xfId="1" applyNumberFormat="1" applyFont="1" applyFill="1" applyBorder="1" applyAlignment="1">
      <alignment horizontal="center" vertical="center" wrapText="1"/>
    </xf>
    <xf numFmtId="165" fontId="16" fillId="2" borderId="1" xfId="7" applyNumberFormat="1" applyFont="1" applyFill="1" applyBorder="1" applyAlignment="1">
      <alignment horizontal="left" vertical="center"/>
    </xf>
    <xf numFmtId="3" fontId="16" fillId="2" borderId="1" xfId="7" applyNumberFormat="1" applyFont="1" applyFill="1" applyBorder="1" applyAlignment="1">
      <alignment horizontal="left" vertical="center"/>
    </xf>
    <xf numFmtId="165" fontId="24" fillId="2" borderId="1" xfId="7" applyNumberFormat="1" applyFont="1" applyFill="1" applyBorder="1" applyAlignment="1">
      <alignment horizontal="left" vertical="center"/>
    </xf>
    <xf numFmtId="3" fontId="24" fillId="2" borderId="1" xfId="7" applyNumberFormat="1" applyFont="1" applyFill="1" applyBorder="1" applyAlignment="1">
      <alignment horizontal="left" vertical="center"/>
    </xf>
    <xf numFmtId="4" fontId="16" fillId="2" borderId="1" xfId="7" applyNumberFormat="1" applyFont="1" applyFill="1" applyBorder="1" applyAlignment="1">
      <alignment horizontal="right" vertical="center"/>
    </xf>
    <xf numFmtId="165" fontId="12" fillId="2" borderId="1" xfId="7" applyNumberFormat="1" applyFont="1" applyFill="1" applyBorder="1" applyAlignment="1">
      <alignment horizontal="left" vertical="center" wrapText="1"/>
    </xf>
    <xf numFmtId="3" fontId="12" fillId="2" borderId="1" xfId="7" applyNumberFormat="1" applyFont="1" applyFill="1" applyBorder="1" applyAlignment="1">
      <alignment horizontal="left" vertical="center" wrapText="1"/>
    </xf>
    <xf numFmtId="4" fontId="12" fillId="2" borderId="1" xfId="7" applyNumberFormat="1" applyFont="1" applyFill="1" applyBorder="1" applyAlignment="1">
      <alignment horizontal="right" vertical="center"/>
    </xf>
    <xf numFmtId="3" fontId="12" fillId="2" borderId="1" xfId="7" applyNumberFormat="1" applyFont="1" applyFill="1" applyBorder="1" applyAlignment="1">
      <alignment vertical="center"/>
    </xf>
    <xf numFmtId="4" fontId="12" fillId="2" borderId="1" xfId="1" applyNumberFormat="1" applyFont="1" applyFill="1" applyBorder="1" applyAlignment="1">
      <alignment vertical="center"/>
    </xf>
    <xf numFmtId="3" fontId="12" fillId="2" borderId="1" xfId="1" applyNumberFormat="1" applyFont="1" applyFill="1" applyBorder="1" applyAlignment="1">
      <alignment horizontal="center" vertical="center" wrapText="1"/>
    </xf>
    <xf numFmtId="4" fontId="12" fillId="2" borderId="1" xfId="7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/>
    </xf>
    <xf numFmtId="4" fontId="12" fillId="2" borderId="1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vertical="center" wrapText="1"/>
    </xf>
    <xf numFmtId="3" fontId="12" fillId="2" borderId="1" xfId="7" applyNumberFormat="1" applyFont="1" applyFill="1" applyBorder="1" applyAlignment="1">
      <alignment horizontal="center" vertical="center"/>
    </xf>
    <xf numFmtId="0" fontId="12" fillId="2" borderId="1" xfId="11" applyFont="1" applyFill="1" applyBorder="1" applyAlignment="1">
      <alignment horizontal="left" vertical="center" wrapText="1"/>
    </xf>
    <xf numFmtId="0" fontId="28" fillId="0" borderId="1" xfId="12" applyFont="1" applyBorder="1" applyAlignment="1">
      <alignment horizontal="center" vertical="center" wrapText="1"/>
    </xf>
    <xf numFmtId="0" fontId="28" fillId="0" borderId="1" xfId="13" applyFont="1" applyBorder="1" applyAlignment="1">
      <alignment horizontal="center" vertical="center" wrapText="1"/>
    </xf>
    <xf numFmtId="0" fontId="28" fillId="0" borderId="1" xfId="14" applyFont="1" applyBorder="1" applyAlignment="1">
      <alignment horizontal="center" vertical="center" wrapText="1"/>
    </xf>
    <xf numFmtId="0" fontId="34" fillId="3" borderId="1" xfId="15" applyFont="1" applyFill="1" applyBorder="1" applyAlignment="1">
      <alignment horizontal="left" vertical="center" wrapText="1"/>
    </xf>
    <xf numFmtId="0" fontId="28" fillId="2" borderId="1" xfId="11" applyFont="1" applyFill="1" applyBorder="1" applyAlignment="1">
      <alignment horizontal="center" vertical="center" wrapText="1"/>
    </xf>
    <xf numFmtId="0" fontId="28" fillId="0" borderId="1" xfId="16" applyFont="1" applyBorder="1" applyAlignment="1">
      <alignment horizontal="center" vertical="center" wrapText="1"/>
    </xf>
    <xf numFmtId="4" fontId="28" fillId="2" borderId="1" xfId="7" applyNumberFormat="1" applyFont="1" applyFill="1" applyBorder="1" applyAlignment="1">
      <alignment vertical="center"/>
    </xf>
    <xf numFmtId="0" fontId="12" fillId="3" borderId="1" xfId="11" applyFont="1" applyFill="1" applyBorder="1" applyAlignment="1">
      <alignment horizontal="left" vertical="center" wrapText="1"/>
    </xf>
    <xf numFmtId="0" fontId="12" fillId="0" borderId="1" xfId="16" applyFont="1" applyBorder="1" applyAlignment="1">
      <alignment horizontal="center" vertical="center" wrapText="1"/>
    </xf>
    <xf numFmtId="0" fontId="28" fillId="0" borderId="1" xfId="17" applyFont="1" applyBorder="1" applyAlignment="1">
      <alignment horizontal="center" vertical="center" wrapText="1"/>
    </xf>
    <xf numFmtId="0" fontId="28" fillId="0" borderId="1" xfId="18" applyFont="1" applyBorder="1" applyAlignment="1">
      <alignment horizontal="center" vertical="center" wrapText="1"/>
    </xf>
    <xf numFmtId="0" fontId="28" fillId="0" borderId="1" xfId="19" applyFont="1" applyBorder="1" applyAlignment="1">
      <alignment horizontal="center" vertical="center" wrapText="1"/>
    </xf>
    <xf numFmtId="0" fontId="28" fillId="3" borderId="1" xfId="15" applyFont="1" applyFill="1" applyBorder="1" applyAlignment="1">
      <alignment horizontal="left" vertical="center" wrapText="1"/>
    </xf>
    <xf numFmtId="0" fontId="28" fillId="3" borderId="1" xfId="11" applyFont="1" applyFill="1" applyBorder="1" applyAlignment="1">
      <alignment horizontal="center" vertical="center" wrapText="1"/>
    </xf>
    <xf numFmtId="4" fontId="28" fillId="2" borderId="1" xfId="7" applyNumberFormat="1" applyFont="1" applyFill="1" applyBorder="1" applyAlignment="1">
      <alignment horizontal="right" vertical="center"/>
    </xf>
    <xf numFmtId="0" fontId="28" fillId="2" borderId="1" xfId="15" applyFont="1" applyFill="1" applyBorder="1" applyAlignment="1">
      <alignment horizontal="left" vertical="center" wrapText="1"/>
    </xf>
    <xf numFmtId="0" fontId="28" fillId="0" borderId="1" xfId="20" applyFont="1" applyBorder="1" applyAlignment="1">
      <alignment horizontal="center" vertical="center" wrapText="1"/>
    </xf>
    <xf numFmtId="0" fontId="28" fillId="0" borderId="1" xfId="21" applyFont="1" applyBorder="1" applyAlignment="1">
      <alignment horizontal="center" vertical="center" wrapText="1"/>
    </xf>
    <xf numFmtId="0" fontId="34" fillId="2" borderId="1" xfId="1" applyFont="1" applyFill="1" applyBorder="1" applyAlignment="1">
      <alignment vertical="center" wrapText="1"/>
    </xf>
    <xf numFmtId="0" fontId="28" fillId="0" borderId="1" xfId="22" applyFont="1" applyBorder="1" applyAlignment="1">
      <alignment horizontal="center" vertical="center" wrapText="1"/>
    </xf>
    <xf numFmtId="0" fontId="9" fillId="2" borderId="1" xfId="11" applyFont="1" applyFill="1" applyBorder="1" applyAlignment="1">
      <alignment horizontal="left" vertical="center" wrapText="1"/>
    </xf>
    <xf numFmtId="3" fontId="9" fillId="2" borderId="1" xfId="7" applyNumberFormat="1" applyFont="1" applyFill="1" applyBorder="1" applyAlignment="1">
      <alignment horizontal="left" vertical="center" wrapText="1"/>
    </xf>
    <xf numFmtId="0" fontId="34" fillId="0" borderId="1" xfId="17" applyFont="1" applyBorder="1" applyAlignment="1">
      <alignment horizontal="center" vertical="center" wrapText="1"/>
    </xf>
    <xf numFmtId="0" fontId="34" fillId="0" borderId="1" xfId="18" applyFont="1" applyBorder="1" applyAlignment="1">
      <alignment horizontal="center" vertical="center" wrapText="1"/>
    </xf>
    <xf numFmtId="0" fontId="34" fillId="0" borderId="1" xfId="19" applyFont="1" applyBorder="1" applyAlignment="1">
      <alignment horizontal="center" vertical="center" wrapText="1"/>
    </xf>
    <xf numFmtId="0" fontId="34" fillId="2" borderId="1" xfId="15" applyFont="1" applyFill="1" applyBorder="1" applyAlignment="1">
      <alignment horizontal="left" vertical="center" wrapText="1"/>
    </xf>
    <xf numFmtId="0" fontId="34" fillId="2" borderId="1" xfId="11" applyFont="1" applyFill="1" applyBorder="1" applyAlignment="1">
      <alignment horizontal="center" vertical="center" wrapText="1"/>
    </xf>
    <xf numFmtId="0" fontId="34" fillId="0" borderId="1" xfId="16" applyFont="1" applyBorder="1" applyAlignment="1">
      <alignment horizontal="center" vertical="center" wrapText="1"/>
    </xf>
    <xf numFmtId="0" fontId="28" fillId="0" borderId="1" xfId="15" applyFont="1" applyBorder="1" applyAlignment="1">
      <alignment horizontal="left" vertical="center" wrapText="1"/>
    </xf>
    <xf numFmtId="0" fontId="28" fillId="0" borderId="1" xfId="11" applyFont="1" applyBorder="1" applyAlignment="1">
      <alignment horizontal="center" vertical="center" wrapText="1"/>
    </xf>
    <xf numFmtId="0" fontId="28" fillId="0" borderId="1" xfId="23" applyFont="1" applyBorder="1" applyAlignment="1">
      <alignment horizontal="center" vertical="center" wrapText="1"/>
    </xf>
    <xf numFmtId="0" fontId="28" fillId="0" borderId="1" xfId="24" applyFont="1" applyBorder="1" applyAlignment="1">
      <alignment horizontal="center" vertical="center" wrapText="1"/>
    </xf>
    <xf numFmtId="0" fontId="28" fillId="0" borderId="1" xfId="25" applyFont="1" applyBorder="1" applyAlignment="1">
      <alignment horizontal="center" vertical="center" wrapText="1"/>
    </xf>
    <xf numFmtId="3" fontId="12" fillId="3" borderId="1" xfId="7" applyNumberFormat="1" applyFont="1" applyFill="1" applyBorder="1" applyAlignment="1">
      <alignment horizontal="left" vertical="center" wrapText="1"/>
    </xf>
    <xf numFmtId="0" fontId="12" fillId="0" borderId="1" xfId="11" applyFont="1" applyBorder="1" applyAlignment="1">
      <alignment horizontal="left" vertical="center" wrapText="1"/>
    </xf>
    <xf numFmtId="0" fontId="34" fillId="0" borderId="1" xfId="1" applyFont="1" applyBorder="1"/>
    <xf numFmtId="0" fontId="12" fillId="2" borderId="1" xfId="26" applyFont="1" applyFill="1" applyBorder="1" applyAlignment="1">
      <alignment horizontal="left" vertical="center" wrapText="1"/>
    </xf>
    <xf numFmtId="0" fontId="12" fillId="2" borderId="1" xfId="7" applyFont="1" applyFill="1" applyBorder="1" applyAlignment="1">
      <alignment horizontal="left" vertical="center" wrapText="1"/>
    </xf>
    <xf numFmtId="49" fontId="12" fillId="2" borderId="1" xfId="26" applyNumberFormat="1" applyFont="1" applyFill="1" applyBorder="1" applyAlignment="1">
      <alignment horizontal="center" vertical="center"/>
    </xf>
    <xf numFmtId="49" fontId="12" fillId="2" borderId="1" xfId="26" applyNumberFormat="1" applyFont="1" applyFill="1" applyBorder="1" applyAlignment="1">
      <alignment horizontal="center" vertical="center" wrapText="1"/>
    </xf>
    <xf numFmtId="3" fontId="16" fillId="2" borderId="1" xfId="7" applyNumberFormat="1" applyFont="1" applyFill="1" applyBorder="1" applyAlignment="1">
      <alignment horizontal="center" vertical="center"/>
    </xf>
    <xf numFmtId="4" fontId="16" fillId="2" borderId="1" xfId="7" applyNumberFormat="1" applyFont="1" applyFill="1" applyBorder="1" applyAlignment="1">
      <alignment horizontal="center" vertical="center"/>
    </xf>
    <xf numFmtId="3" fontId="16" fillId="2" borderId="0" xfId="7" applyNumberFormat="1" applyFont="1" applyFill="1" applyAlignment="1">
      <alignment horizontal="center" vertical="center"/>
    </xf>
    <xf numFmtId="4" fontId="16" fillId="2" borderId="0" xfId="7" applyNumberFormat="1" applyFont="1" applyFill="1" applyAlignment="1">
      <alignment horizontal="center" vertical="center"/>
    </xf>
    <xf numFmtId="0" fontId="12" fillId="2" borderId="0" xfId="1" applyFont="1" applyFill="1" applyAlignment="1">
      <alignment horizontal="left"/>
    </xf>
    <xf numFmtId="165" fontId="12" fillId="2" borderId="6" xfId="7" applyNumberFormat="1" applyFont="1" applyFill="1" applyBorder="1" applyAlignment="1" applyProtection="1">
      <alignment horizontal="left" vertical="center" wrapText="1"/>
      <protection locked="0"/>
    </xf>
    <xf numFmtId="0" fontId="9" fillId="2" borderId="3" xfId="7" applyFont="1" applyFill="1" applyBorder="1" applyAlignment="1">
      <alignment vertical="center" wrapText="1"/>
    </xf>
    <xf numFmtId="0" fontId="9" fillId="2" borderId="1" xfId="7" applyFont="1" applyFill="1" applyBorder="1" applyAlignment="1">
      <alignment vertical="center" wrapText="1"/>
    </xf>
    <xf numFmtId="3" fontId="16" fillId="2" borderId="0" xfId="1" applyNumberFormat="1" applyFont="1" applyFill="1"/>
    <xf numFmtId="3" fontId="12" fillId="2" borderId="1" xfId="7" applyNumberFormat="1" applyFont="1" applyFill="1" applyBorder="1" applyAlignment="1">
      <alignment vertical="center" wrapText="1"/>
    </xf>
    <xf numFmtId="165" fontId="12" fillId="2" borderId="6" xfId="7" applyNumberFormat="1" applyFont="1" applyFill="1" applyBorder="1" applyAlignment="1">
      <alignment vertical="center" wrapText="1"/>
    </xf>
    <xf numFmtId="3" fontId="12" fillId="2" borderId="6" xfId="7" applyNumberFormat="1" applyFont="1" applyFill="1" applyBorder="1" applyAlignment="1">
      <alignment vertical="center" wrapText="1"/>
    </xf>
    <xf numFmtId="0" fontId="12" fillId="2" borderId="1" xfId="1" applyFont="1" applyFill="1" applyBorder="1" applyAlignment="1">
      <alignment horizontal="left" vertical="center"/>
    </xf>
    <xf numFmtId="49" fontId="12" fillId="2" borderId="0" xfId="1" applyNumberFormat="1" applyFont="1" applyFill="1" applyAlignment="1">
      <alignment horizontal="center" vertical="distributed" wrapText="1"/>
    </xf>
    <xf numFmtId="3" fontId="12" fillId="2" borderId="1" xfId="7" applyNumberFormat="1" applyFont="1" applyFill="1" applyBorder="1" applyAlignment="1">
      <alignment horizontal="center" vertical="center" wrapText="1"/>
    </xf>
    <xf numFmtId="4" fontId="28" fillId="2" borderId="1" xfId="7" applyNumberFormat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3" fontId="16" fillId="2" borderId="1" xfId="1" applyNumberFormat="1" applyFont="1" applyFill="1" applyBorder="1" applyAlignment="1">
      <alignment horizontal="left" vertical="center" wrapText="1"/>
    </xf>
    <xf numFmtId="4" fontId="16" fillId="2" borderId="1" xfId="7" applyNumberFormat="1" applyFont="1" applyFill="1" applyBorder="1" applyAlignment="1">
      <alignment horizontal="right" vertical="center" wrapText="1"/>
    </xf>
    <xf numFmtId="165" fontId="16" fillId="2" borderId="1" xfId="1" applyNumberFormat="1" applyFont="1" applyFill="1" applyBorder="1" applyAlignment="1">
      <alignment horizontal="left" vertical="center"/>
    </xf>
    <xf numFmtId="3" fontId="20" fillId="2" borderId="1" xfId="1" applyNumberFormat="1" applyFont="1" applyFill="1" applyBorder="1" applyAlignment="1">
      <alignment horizontal="left" vertical="center"/>
    </xf>
    <xf numFmtId="165" fontId="12" fillId="2" borderId="0" xfId="1" applyNumberFormat="1" applyFont="1" applyFill="1" applyAlignment="1">
      <alignment horizontal="center" vertical="center"/>
    </xf>
    <xf numFmtId="165" fontId="12" fillId="2" borderId="0" xfId="1" applyNumberFormat="1" applyFont="1" applyFill="1"/>
    <xf numFmtId="0" fontId="12" fillId="2" borderId="0" xfId="1" applyFont="1" applyFill="1" applyAlignment="1">
      <alignment vertical="center" wrapText="1"/>
    </xf>
    <xf numFmtId="3" fontId="12" fillId="2" borderId="0" xfId="1" applyNumberFormat="1" applyFont="1" applyFill="1" applyAlignment="1">
      <alignment vertical="center" wrapText="1"/>
    </xf>
    <xf numFmtId="0" fontId="12" fillId="2" borderId="0" xfId="1" applyFont="1" applyFill="1" applyAlignment="1">
      <alignment horizontal="center" vertical="center" wrapText="1"/>
    </xf>
    <xf numFmtId="0" fontId="21" fillId="2" borderId="0" xfId="1" applyFont="1" applyFill="1" applyAlignment="1">
      <alignment vertical="center" wrapText="1"/>
    </xf>
    <xf numFmtId="3" fontId="21" fillId="2" borderId="0" xfId="1" applyNumberFormat="1" applyFont="1" applyFill="1" applyAlignment="1">
      <alignment vertical="center" wrapText="1"/>
    </xf>
    <xf numFmtId="4" fontId="21" fillId="2" borderId="0" xfId="1" applyNumberFormat="1" applyFont="1" applyFill="1" applyAlignment="1">
      <alignment vertical="center" wrapText="1"/>
    </xf>
    <xf numFmtId="3" fontId="12" fillId="2" borderId="0" xfId="1" applyNumberFormat="1" applyFont="1" applyFill="1" applyAlignment="1">
      <alignment horizontal="center" vertical="center" wrapText="1"/>
    </xf>
    <xf numFmtId="3" fontId="12" fillId="2" borderId="0" xfId="1" applyNumberFormat="1" applyFont="1" applyFill="1" applyAlignment="1">
      <alignment horizontal="center" vertical="center"/>
    </xf>
    <xf numFmtId="0" fontId="28" fillId="3" borderId="1" xfId="1" applyFont="1" applyFill="1" applyBorder="1" applyAlignment="1">
      <alignment vertical="center" wrapText="1"/>
    </xf>
    <xf numFmtId="0" fontId="45" fillId="3" borderId="0" xfId="1" applyFont="1" applyFill="1"/>
    <xf numFmtId="4" fontId="45" fillId="3" borderId="0" xfId="1" applyNumberFormat="1" applyFont="1" applyFill="1"/>
    <xf numFmtId="0" fontId="12" fillId="3" borderId="0" xfId="1" applyFont="1" applyFill="1" applyAlignment="1">
      <alignment vertical="center"/>
    </xf>
    <xf numFmtId="3" fontId="12" fillId="3" borderId="0" xfId="1" applyNumberFormat="1" applyFont="1" applyFill="1" applyAlignment="1">
      <alignment vertical="center" wrapText="1"/>
    </xf>
    <xf numFmtId="0" fontId="46" fillId="2" borderId="1" xfId="1" applyFont="1" applyFill="1" applyBorder="1" applyAlignment="1">
      <alignment horizontal="left" vertical="center" wrapText="1"/>
    </xf>
    <xf numFmtId="4" fontId="28" fillId="2" borderId="1" xfId="1" applyNumberFormat="1" applyFont="1" applyFill="1" applyBorder="1" applyAlignment="1">
      <alignment vertical="center"/>
    </xf>
    <xf numFmtId="49" fontId="41" fillId="0" borderId="1" xfId="10" applyNumberFormat="1" applyFont="1" applyBorder="1" applyAlignment="1">
      <alignment horizontal="center" vertical="center"/>
    </xf>
    <xf numFmtId="0" fontId="41" fillId="0" borderId="1" xfId="10" applyFont="1" applyBorder="1" applyAlignment="1">
      <alignment horizontal="left" wrapText="1"/>
    </xf>
    <xf numFmtId="49" fontId="41" fillId="0" borderId="8" xfId="10" applyNumberFormat="1" applyFont="1" applyBorder="1" applyAlignment="1">
      <alignment horizontal="center" vertical="center"/>
    </xf>
    <xf numFmtId="49" fontId="12" fillId="3" borderId="0" xfId="1" applyNumberFormat="1" applyFont="1" applyFill="1" applyAlignment="1">
      <alignment horizontal="center" vertical="center"/>
    </xf>
    <xf numFmtId="0" fontId="16" fillId="3" borderId="0" xfId="1" applyFont="1" applyFill="1" applyAlignment="1">
      <alignment horizontal="center" vertical="center" wrapText="1"/>
    </xf>
    <xf numFmtId="3" fontId="16" fillId="3" borderId="0" xfId="1" applyNumberFormat="1" applyFont="1" applyFill="1" applyAlignment="1">
      <alignment horizontal="center" vertical="center" wrapText="1"/>
    </xf>
    <xf numFmtId="0" fontId="12" fillId="3" borderId="0" xfId="1" applyFont="1" applyFill="1" applyAlignment="1">
      <alignment horizontal="right" vertical="top"/>
    </xf>
    <xf numFmtId="0" fontId="12" fillId="3" borderId="1" xfId="28" applyFont="1" applyFill="1" applyBorder="1" applyAlignment="1">
      <alignment horizontal="center" vertical="center" wrapText="1"/>
    </xf>
    <xf numFmtId="4" fontId="16" fillId="3" borderId="1" xfId="30" applyNumberFormat="1" applyFont="1" applyFill="1" applyBorder="1" applyAlignment="1">
      <alignment vertical="center" wrapText="1"/>
    </xf>
    <xf numFmtId="4" fontId="30" fillId="4" borderId="1" xfId="31" applyNumberFormat="1" applyFont="1" applyFill="1" applyBorder="1" applyAlignment="1">
      <alignment vertical="center" wrapText="1"/>
    </xf>
    <xf numFmtId="0" fontId="23" fillId="3" borderId="0" xfId="1" applyFont="1" applyFill="1" applyAlignment="1">
      <alignment horizontal="center" vertical="center" wrapText="1"/>
    </xf>
    <xf numFmtId="4" fontId="12" fillId="3" borderId="1" xfId="5" applyNumberFormat="1" applyFont="1" applyFill="1" applyBorder="1" applyAlignment="1">
      <alignment horizontal="right" vertical="center"/>
    </xf>
    <xf numFmtId="49" fontId="28" fillId="3" borderId="1" xfId="1" applyNumberFormat="1" applyFont="1" applyFill="1" applyBorder="1" applyAlignment="1">
      <alignment horizontal="center" vertical="center"/>
    </xf>
    <xf numFmtId="49" fontId="28" fillId="3" borderId="1" xfId="1" applyNumberFormat="1" applyFont="1" applyFill="1" applyBorder="1" applyAlignment="1">
      <alignment horizontal="center" vertical="center" wrapText="1"/>
    </xf>
    <xf numFmtId="165" fontId="28" fillId="3" borderId="1" xfId="1" applyNumberFormat="1" applyFont="1" applyFill="1" applyBorder="1" applyAlignment="1">
      <alignment vertical="center" wrapText="1"/>
    </xf>
    <xf numFmtId="3" fontId="28" fillId="3" borderId="1" xfId="5" applyNumberFormat="1" applyFont="1" applyFill="1" applyBorder="1" applyAlignment="1">
      <alignment horizontal="right" vertical="center"/>
    </xf>
    <xf numFmtId="3" fontId="28" fillId="3" borderId="1" xfId="1" applyNumberFormat="1" applyFont="1" applyFill="1" applyBorder="1" applyAlignment="1">
      <alignment horizontal="right" vertical="center" wrapText="1"/>
    </xf>
    <xf numFmtId="0" fontId="28" fillId="3" borderId="0" xfId="1" applyFont="1" applyFill="1" applyAlignment="1">
      <alignment vertical="distributed"/>
    </xf>
    <xf numFmtId="49" fontId="28" fillId="3" borderId="1" xfId="5" applyNumberFormat="1" applyFont="1" applyFill="1" applyBorder="1" applyAlignment="1">
      <alignment horizontal="center" vertical="center"/>
    </xf>
    <xf numFmtId="0" fontId="28" fillId="3" borderId="1" xfId="1" applyFont="1" applyFill="1" applyBorder="1" applyAlignment="1">
      <alignment wrapText="1"/>
    </xf>
    <xf numFmtId="4" fontId="12" fillId="3" borderId="1" xfId="1" applyNumberFormat="1" applyFont="1" applyFill="1" applyBorder="1" applyAlignment="1">
      <alignment vertical="center" wrapText="1"/>
    </xf>
    <xf numFmtId="3" fontId="12" fillId="3" borderId="1" xfId="5" applyNumberFormat="1" applyFont="1" applyFill="1" applyBorder="1" applyAlignment="1">
      <alignment horizontal="right" vertical="center"/>
    </xf>
    <xf numFmtId="49" fontId="28" fillId="3" borderId="1" xfId="1" applyNumberFormat="1" applyFont="1" applyFill="1" applyBorder="1" applyAlignment="1">
      <alignment horizontal="center" vertical="distributed" wrapText="1"/>
    </xf>
    <xf numFmtId="4" fontId="28" fillId="3" borderId="1" xfId="5" applyNumberFormat="1" applyFont="1" applyFill="1" applyBorder="1" applyAlignment="1">
      <alignment horizontal="right" vertical="center"/>
    </xf>
    <xf numFmtId="4" fontId="28" fillId="3" borderId="1" xfId="1" applyNumberFormat="1" applyFont="1" applyFill="1" applyBorder="1" applyAlignment="1">
      <alignment horizontal="right" vertical="center" wrapText="1"/>
    </xf>
    <xf numFmtId="3" fontId="24" fillId="3" borderId="0" xfId="1" applyNumberFormat="1" applyFont="1" applyFill="1" applyAlignment="1">
      <alignment vertical="distributed"/>
    </xf>
    <xf numFmtId="3" fontId="28" fillId="3" borderId="0" xfId="1" applyNumberFormat="1" applyFont="1" applyFill="1"/>
    <xf numFmtId="0" fontId="29" fillId="3" borderId="1" xfId="1" applyFont="1" applyFill="1" applyBorder="1" applyAlignment="1">
      <alignment horizontal="left" vertical="center" wrapText="1"/>
    </xf>
    <xf numFmtId="4" fontId="12" fillId="3" borderId="1" xfId="5" applyNumberFormat="1" applyFont="1" applyFill="1" applyBorder="1" applyAlignment="1">
      <alignment horizontal="right" vertical="center" wrapText="1"/>
    </xf>
    <xf numFmtId="0" fontId="10" fillId="3" borderId="1" xfId="1" applyFont="1" applyFill="1" applyBorder="1" applyAlignment="1">
      <alignment horizontal="left" vertical="center" wrapText="1"/>
    </xf>
    <xf numFmtId="0" fontId="34" fillId="3" borderId="0" xfId="1" applyFont="1" applyFill="1"/>
    <xf numFmtId="0" fontId="9" fillId="3" borderId="1" xfId="8" applyFont="1" applyFill="1" applyBorder="1" applyAlignment="1">
      <alignment horizontal="left" vertical="center" wrapText="1"/>
    </xf>
    <xf numFmtId="49" fontId="34" fillId="3" borderId="1" xfId="1" applyNumberFormat="1" applyFont="1" applyFill="1" applyBorder="1" applyAlignment="1">
      <alignment horizontal="center" vertical="center" wrapText="1"/>
    </xf>
    <xf numFmtId="49" fontId="35" fillId="3" borderId="1" xfId="1" applyNumberFormat="1" applyFont="1" applyFill="1" applyBorder="1" applyAlignment="1">
      <alignment horizontal="center" vertical="center" wrapText="1"/>
    </xf>
    <xf numFmtId="49" fontId="36" fillId="3" borderId="1" xfId="1" applyNumberFormat="1" applyFont="1" applyFill="1" applyBorder="1" applyAlignment="1">
      <alignment horizontal="center" vertical="center" wrapText="1"/>
    </xf>
    <xf numFmtId="0" fontId="35" fillId="3" borderId="1" xfId="8" applyFont="1" applyFill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right" vertical="center" wrapText="1"/>
    </xf>
    <xf numFmtId="3" fontId="12" fillId="3" borderId="1" xfId="1" applyNumberFormat="1" applyFont="1" applyFill="1" applyBorder="1" applyAlignment="1">
      <alignment horizontal="right" vertical="center"/>
    </xf>
    <xf numFmtId="165" fontId="28" fillId="3" borderId="1" xfId="1" applyNumberFormat="1" applyFont="1" applyFill="1" applyBorder="1" applyAlignment="1">
      <alignment horizontal="left" vertical="center" wrapText="1"/>
    </xf>
    <xf numFmtId="0" fontId="47" fillId="0" borderId="0" xfId="1" applyFont="1" applyAlignment="1">
      <alignment horizontal="center" vertical="center" wrapText="1"/>
    </xf>
    <xf numFmtId="0" fontId="23" fillId="3" borderId="0" xfId="1" applyFont="1" applyFill="1" applyAlignment="1">
      <alignment vertical="center" wrapText="1"/>
    </xf>
    <xf numFmtId="0" fontId="48" fillId="0" borderId="0" xfId="1" applyFont="1" applyAlignment="1">
      <alignment vertical="center"/>
    </xf>
    <xf numFmtId="3" fontId="12" fillId="0" borderId="1" xfId="1" applyNumberFormat="1" applyFont="1" applyBorder="1" applyAlignment="1">
      <alignment horizontal="right" vertical="center"/>
    </xf>
    <xf numFmtId="3" fontId="12" fillId="3" borderId="1" xfId="2" applyNumberFormat="1" applyFont="1" applyFill="1" applyBorder="1"/>
    <xf numFmtId="165" fontId="49" fillId="3" borderId="1" xfId="1" applyNumberFormat="1" applyFont="1" applyFill="1" applyBorder="1" applyAlignment="1">
      <alignment vertical="center" wrapText="1"/>
    </xf>
    <xf numFmtId="4" fontId="10" fillId="2" borderId="0" xfId="1" applyNumberFormat="1" applyFont="1" applyFill="1" applyAlignment="1">
      <alignment vertical="distributed"/>
    </xf>
    <xf numFmtId="10" fontId="9" fillId="2" borderId="0" xfId="1" applyNumberFormat="1" applyFont="1" applyFill="1"/>
    <xf numFmtId="4" fontId="50" fillId="2" borderId="1" xfId="7" applyNumberFormat="1" applyFont="1" applyFill="1" applyBorder="1" applyAlignment="1">
      <alignment horizontal="center" vertical="center"/>
    </xf>
    <xf numFmtId="4" fontId="51" fillId="2" borderId="1" xfId="7" applyNumberFormat="1" applyFont="1" applyFill="1" applyBorder="1" applyAlignment="1">
      <alignment horizontal="center" vertical="center"/>
    </xf>
    <xf numFmtId="4" fontId="51" fillId="2" borderId="1" xfId="1" applyNumberFormat="1" applyFont="1" applyFill="1" applyBorder="1" applyAlignment="1">
      <alignment horizontal="center" vertical="center"/>
    </xf>
    <xf numFmtId="4" fontId="49" fillId="2" borderId="1" xfId="7" applyNumberFormat="1" applyFont="1" applyFill="1" applyBorder="1" applyAlignment="1">
      <alignment horizontal="center" vertical="center"/>
    </xf>
    <xf numFmtId="4" fontId="49" fillId="2" borderId="1" xfId="1" applyNumberFormat="1" applyFont="1" applyFill="1" applyBorder="1" applyAlignment="1">
      <alignment horizontal="center" vertical="center"/>
    </xf>
    <xf numFmtId="4" fontId="50" fillId="2" borderId="1" xfId="1" applyNumberFormat="1" applyFont="1" applyFill="1" applyBorder="1" applyAlignment="1">
      <alignment horizontal="center" vertical="center"/>
    </xf>
    <xf numFmtId="4" fontId="51" fillId="2" borderId="1" xfId="1" applyNumberFormat="1" applyFont="1" applyFill="1" applyBorder="1" applyAlignment="1">
      <alignment horizontal="center" vertical="center" wrapText="1"/>
    </xf>
    <xf numFmtId="4" fontId="51" fillId="2" borderId="1" xfId="7" applyNumberFormat="1" applyFont="1" applyFill="1" applyBorder="1" applyAlignment="1">
      <alignment horizontal="center" vertical="center" wrapText="1"/>
    </xf>
    <xf numFmtId="4" fontId="50" fillId="2" borderId="1" xfId="7" applyNumberFormat="1" applyFont="1" applyFill="1" applyBorder="1" applyAlignment="1">
      <alignment horizontal="center" vertical="center" wrapText="1"/>
    </xf>
    <xf numFmtId="4" fontId="12" fillId="2" borderId="1" xfId="5" applyNumberFormat="1" applyFont="1" applyFill="1" applyBorder="1" applyAlignment="1">
      <alignment horizontal="center" vertical="center"/>
    </xf>
    <xf numFmtId="4" fontId="12" fillId="2" borderId="1" xfId="7" applyNumberFormat="1" applyFont="1" applyFill="1" applyBorder="1" applyAlignment="1">
      <alignment horizontal="center" vertical="center" wrapText="1"/>
    </xf>
    <xf numFmtId="0" fontId="48" fillId="3" borderId="0" xfId="1" applyFont="1" applyFill="1" applyAlignment="1">
      <alignment horizontal="left" vertical="center" wrapText="1"/>
    </xf>
    <xf numFmtId="0" fontId="8" fillId="3" borderId="0" xfId="1" applyFill="1" applyAlignment="1">
      <alignment horizontal="left"/>
    </xf>
    <xf numFmtId="0" fontId="8" fillId="3" borderId="0" xfId="1" applyFill="1"/>
    <xf numFmtId="0" fontId="48" fillId="3" borderId="0" xfId="1" applyFont="1" applyFill="1" applyAlignment="1">
      <alignment horizontal="left" vertical="center"/>
    </xf>
    <xf numFmtId="0" fontId="48" fillId="3" borderId="11" xfId="1" applyFont="1" applyFill="1" applyBorder="1" applyAlignment="1">
      <alignment horizontal="center" vertical="center"/>
    </xf>
    <xf numFmtId="0" fontId="53" fillId="3" borderId="0" xfId="1" applyFont="1" applyFill="1" applyAlignment="1">
      <alignment vertical="center"/>
    </xf>
    <xf numFmtId="0" fontId="12" fillId="3" borderId="0" xfId="1" applyFont="1" applyFill="1" applyAlignment="1">
      <alignment horizontal="left" vertical="center"/>
    </xf>
    <xf numFmtId="0" fontId="53" fillId="3" borderId="1" xfId="1" applyFont="1" applyFill="1" applyBorder="1" applyAlignment="1">
      <alignment horizontal="center" vertical="center" wrapText="1"/>
    </xf>
    <xf numFmtId="49" fontId="16" fillId="3" borderId="1" xfId="1" applyNumberFormat="1" applyFont="1" applyFill="1" applyBorder="1" applyAlignment="1">
      <alignment horizontal="center" vertical="center"/>
    </xf>
    <xf numFmtId="49" fontId="16" fillId="3" borderId="1" xfId="1" applyNumberFormat="1" applyFont="1" applyFill="1" applyBorder="1" applyAlignment="1">
      <alignment horizontal="center" vertical="distributed" wrapText="1"/>
    </xf>
    <xf numFmtId="165" fontId="16" fillId="3" borderId="1" xfId="1" applyNumberFormat="1" applyFont="1" applyFill="1" applyBorder="1" applyAlignment="1">
      <alignment horizontal="left" vertical="center" wrapText="1"/>
    </xf>
    <xf numFmtId="0" fontId="53" fillId="3" borderId="3" xfId="1" applyFont="1" applyFill="1" applyBorder="1" applyAlignment="1">
      <alignment horizontal="center" vertical="center" wrapText="1"/>
    </xf>
    <xf numFmtId="4" fontId="54" fillId="3" borderId="3" xfId="1" applyNumberFormat="1" applyFont="1" applyFill="1" applyBorder="1" applyAlignment="1">
      <alignment horizontal="center" vertical="center" wrapText="1"/>
    </xf>
    <xf numFmtId="4" fontId="54" fillId="3" borderId="1" xfId="1" applyNumberFormat="1" applyFont="1" applyFill="1" applyBorder="1" applyAlignment="1">
      <alignment horizontal="center" vertical="center" wrapText="1"/>
    </xf>
    <xf numFmtId="49" fontId="44" fillId="3" borderId="1" xfId="1" applyNumberFormat="1" applyFont="1" applyFill="1" applyBorder="1" applyAlignment="1">
      <alignment horizontal="center" vertical="center"/>
    </xf>
    <xf numFmtId="49" fontId="44" fillId="3" borderId="1" xfId="1" applyNumberFormat="1" applyFont="1" applyFill="1" applyBorder="1" applyAlignment="1">
      <alignment horizontal="center" vertical="center" wrapText="1"/>
    </xf>
    <xf numFmtId="165" fontId="44" fillId="6" borderId="1" xfId="1" applyNumberFormat="1" applyFont="1" applyFill="1" applyBorder="1" applyAlignment="1">
      <alignment horizontal="left" vertical="center" wrapText="1"/>
    </xf>
    <xf numFmtId="1" fontId="55" fillId="6" borderId="1" xfId="26" applyNumberFormat="1" applyFont="1" applyFill="1" applyBorder="1" applyAlignment="1">
      <alignment horizontal="center" vertical="center" wrapText="1"/>
    </xf>
    <xf numFmtId="0" fontId="54" fillId="3" borderId="1" xfId="1" applyFont="1" applyFill="1" applyBorder="1" applyAlignment="1">
      <alignment horizontal="center" vertical="center" wrapText="1"/>
    </xf>
    <xf numFmtId="3" fontId="54" fillId="3" borderId="1" xfId="1" applyNumberFormat="1" applyFont="1" applyFill="1" applyBorder="1" applyAlignment="1">
      <alignment horizontal="center" vertical="center" wrapText="1"/>
    </xf>
    <xf numFmtId="49" fontId="45" fillId="3" borderId="1" xfId="1" applyNumberFormat="1" applyFont="1" applyFill="1" applyBorder="1" applyAlignment="1">
      <alignment horizontal="center" vertical="center"/>
    </xf>
    <xf numFmtId="49" fontId="45" fillId="3" borderId="1" xfId="1" applyNumberFormat="1" applyFont="1" applyFill="1" applyBorder="1" applyAlignment="1">
      <alignment horizontal="center" vertical="center" wrapText="1"/>
    </xf>
    <xf numFmtId="0" fontId="45" fillId="3" borderId="1" xfId="8" applyFont="1" applyFill="1" applyBorder="1" applyAlignment="1">
      <alignment horizontal="left" vertical="center" wrapText="1"/>
    </xf>
    <xf numFmtId="1" fontId="45" fillId="6" borderId="1" xfId="26" applyNumberFormat="1" applyFont="1" applyFill="1" applyBorder="1" applyAlignment="1">
      <alignment horizontal="left" vertical="center" wrapText="1"/>
    </xf>
    <xf numFmtId="4" fontId="45" fillId="3" borderId="1" xfId="1" applyNumberFormat="1" applyFont="1" applyFill="1" applyBorder="1" applyAlignment="1">
      <alignment horizontal="center" vertical="center" wrapText="1"/>
    </xf>
    <xf numFmtId="4" fontId="53" fillId="3" borderId="3" xfId="1" applyNumberFormat="1" applyFont="1" applyFill="1" applyBorder="1" applyAlignment="1">
      <alignment horizontal="center" vertical="center" wrapText="1"/>
    </xf>
    <xf numFmtId="165" fontId="56" fillId="3" borderId="1" xfId="32" applyNumberFormat="1" applyFont="1" applyFill="1" applyBorder="1" applyAlignment="1">
      <alignment horizontal="center" vertical="center" wrapText="1"/>
    </xf>
    <xf numFmtId="1" fontId="57" fillId="6" borderId="1" xfId="33" applyNumberFormat="1" applyFont="1" applyFill="1" applyBorder="1" applyAlignment="1">
      <alignment horizontal="left" vertical="center" wrapText="1"/>
    </xf>
    <xf numFmtId="49" fontId="57" fillId="3" borderId="1" xfId="1" applyNumberFormat="1" applyFont="1" applyFill="1" applyBorder="1" applyAlignment="1">
      <alignment horizontal="center" vertical="center" wrapText="1"/>
    </xf>
    <xf numFmtId="49" fontId="57" fillId="3" borderId="1" xfId="1" applyNumberFormat="1" applyFont="1" applyFill="1" applyBorder="1" applyAlignment="1">
      <alignment horizontal="center" vertical="center"/>
    </xf>
    <xf numFmtId="0" fontId="57" fillId="3" borderId="1" xfId="8" applyFont="1" applyFill="1" applyBorder="1" applyAlignment="1">
      <alignment horizontal="left" vertical="center" wrapText="1"/>
    </xf>
    <xf numFmtId="0" fontId="57" fillId="3" borderId="1" xfId="34" applyFont="1" applyFill="1" applyBorder="1" applyAlignment="1">
      <alignment horizontal="left" vertical="center" wrapText="1"/>
    </xf>
    <xf numFmtId="0" fontId="44" fillId="3" borderId="1" xfId="8" applyFont="1" applyFill="1" applyBorder="1" applyAlignment="1">
      <alignment horizontal="left" vertical="center" wrapText="1"/>
    </xf>
    <xf numFmtId="1" fontId="45" fillId="6" borderId="1" xfId="33" applyNumberFormat="1" applyFont="1" applyFill="1" applyBorder="1" applyAlignment="1">
      <alignment horizontal="left" vertical="center" wrapText="1"/>
    </xf>
    <xf numFmtId="4" fontId="53" fillId="3" borderId="1" xfId="1" applyNumberFormat="1" applyFont="1" applyFill="1" applyBorder="1" applyAlignment="1">
      <alignment horizontal="center" vertical="center" wrapText="1"/>
    </xf>
    <xf numFmtId="4" fontId="8" fillId="3" borderId="0" xfId="1" applyNumberFormat="1" applyFill="1"/>
    <xf numFmtId="1" fontId="59" fillId="6" borderId="1" xfId="33" applyNumberFormat="1" applyFont="1" applyFill="1" applyBorder="1" applyAlignment="1">
      <alignment horizontal="center" vertical="top" wrapText="1"/>
    </xf>
    <xf numFmtId="0" fontId="45" fillId="3" borderId="1" xfId="1" applyFont="1" applyFill="1" applyBorder="1" applyAlignment="1">
      <alignment horizontal="center" vertical="center" wrapText="1"/>
    </xf>
    <xf numFmtId="1" fontId="40" fillId="3" borderId="1" xfId="1" applyNumberFormat="1" applyFont="1" applyFill="1" applyBorder="1" applyAlignment="1">
      <alignment horizontal="center" vertical="center" wrapText="1"/>
    </xf>
    <xf numFmtId="49" fontId="40" fillId="3" borderId="1" xfId="1" applyNumberFormat="1" applyFont="1" applyFill="1" applyBorder="1" applyAlignment="1">
      <alignment horizontal="center" vertical="center" wrapText="1"/>
    </xf>
    <xf numFmtId="0" fontId="40" fillId="3" borderId="1" xfId="1" applyFont="1" applyFill="1" applyBorder="1" applyAlignment="1">
      <alignment horizontal="left" vertical="center" wrapText="1"/>
    </xf>
    <xf numFmtId="0" fontId="40" fillId="3" borderId="1" xfId="1" applyFont="1" applyFill="1" applyBorder="1" applyAlignment="1">
      <alignment horizontal="center" vertical="center" wrapText="1"/>
    </xf>
    <xf numFmtId="4" fontId="40" fillId="3" borderId="1" xfId="1" applyNumberFormat="1" applyFont="1" applyFill="1" applyBorder="1" applyAlignment="1">
      <alignment horizontal="center" vertical="center" wrapText="1"/>
    </xf>
    <xf numFmtId="3" fontId="40" fillId="3" borderId="1" xfId="1" applyNumberFormat="1" applyFont="1" applyFill="1" applyBorder="1" applyAlignment="1">
      <alignment horizontal="center" vertical="center" wrapText="1"/>
    </xf>
    <xf numFmtId="0" fontId="60" fillId="3" borderId="0" xfId="1" applyFont="1" applyFill="1" applyAlignment="1">
      <alignment vertical="center"/>
    </xf>
    <xf numFmtId="1" fontId="45" fillId="3" borderId="1" xfId="1" applyNumberFormat="1" applyFont="1" applyFill="1" applyBorder="1" applyAlignment="1">
      <alignment horizontal="center" vertical="center" wrapText="1"/>
    </xf>
    <xf numFmtId="0" fontId="45" fillId="3" borderId="1" xfId="1" applyFont="1" applyFill="1" applyBorder="1" applyAlignment="1">
      <alignment horizontal="left" vertical="center" wrapText="1"/>
    </xf>
    <xf numFmtId="4" fontId="45" fillId="3" borderId="1" xfId="1" applyNumberFormat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left" vertical="center" wrapText="1"/>
    </xf>
    <xf numFmtId="4" fontId="54" fillId="3" borderId="1" xfId="1" applyNumberFormat="1" applyFont="1" applyFill="1" applyBorder="1" applyAlignment="1">
      <alignment horizontal="right" vertical="center" wrapText="1"/>
    </xf>
    <xf numFmtId="0" fontId="53" fillId="3" borderId="1" xfId="1" applyFont="1" applyFill="1" applyBorder="1" applyAlignment="1">
      <alignment horizontal="right" vertical="center" wrapText="1"/>
    </xf>
    <xf numFmtId="167" fontId="8" fillId="3" borderId="0" xfId="1" applyNumberFormat="1" applyFill="1"/>
    <xf numFmtId="0" fontId="61" fillId="3" borderId="1" xfId="1" applyFont="1" applyFill="1" applyBorder="1" applyAlignment="1">
      <alignment horizontal="center" vertical="center" wrapText="1"/>
    </xf>
    <xf numFmtId="0" fontId="61" fillId="3" borderId="1" xfId="1" applyFont="1" applyFill="1" applyBorder="1" applyAlignment="1">
      <alignment horizontal="left" vertical="center" wrapText="1"/>
    </xf>
    <xf numFmtId="0" fontId="56" fillId="3" borderId="1" xfId="1" applyFont="1" applyFill="1" applyBorder="1" applyAlignment="1">
      <alignment horizontal="center" vertical="center" wrapText="1"/>
    </xf>
    <xf numFmtId="167" fontId="61" fillId="3" borderId="1" xfId="1" applyNumberFormat="1" applyFont="1" applyFill="1" applyBorder="1" applyAlignment="1">
      <alignment vertical="center" wrapText="1"/>
    </xf>
    <xf numFmtId="0" fontId="56" fillId="3" borderId="1" xfId="1" applyFont="1" applyFill="1" applyBorder="1" applyAlignment="1">
      <alignment horizontal="left" vertical="center" wrapText="1"/>
    </xf>
    <xf numFmtId="168" fontId="56" fillId="3" borderId="1" xfId="35" applyFont="1" applyFill="1" applyBorder="1" applyAlignment="1">
      <alignment vertical="center" wrapText="1"/>
    </xf>
    <xf numFmtId="167" fontId="53" fillId="3" borderId="1" xfId="1" applyNumberFormat="1" applyFont="1" applyFill="1" applyBorder="1" applyAlignment="1">
      <alignment vertical="center" wrapText="1"/>
    </xf>
    <xf numFmtId="0" fontId="61" fillId="3" borderId="1" xfId="1" quotePrefix="1" applyFont="1" applyFill="1" applyBorder="1" applyAlignment="1">
      <alignment horizontal="center" vertical="center" wrapText="1"/>
    </xf>
    <xf numFmtId="4" fontId="61" fillId="3" borderId="1" xfId="1" applyNumberFormat="1" applyFont="1" applyFill="1" applyBorder="1" applyAlignment="1">
      <alignment horizontal="right" vertical="center" wrapText="1"/>
    </xf>
    <xf numFmtId="0" fontId="56" fillId="3" borderId="1" xfId="1" applyFont="1" applyFill="1" applyBorder="1" applyAlignment="1">
      <alignment horizontal="right" vertical="center" wrapText="1"/>
    </xf>
    <xf numFmtId="0" fontId="56" fillId="3" borderId="1" xfId="1" quotePrefix="1" applyFont="1" applyFill="1" applyBorder="1" applyAlignment="1">
      <alignment horizontal="center" vertical="center" wrapText="1"/>
    </xf>
    <xf numFmtId="4" fontId="56" fillId="3" borderId="1" xfId="35" applyNumberFormat="1" applyFont="1" applyFill="1" applyBorder="1" applyAlignment="1">
      <alignment vertical="center" wrapText="1"/>
    </xf>
    <xf numFmtId="4" fontId="53" fillId="3" borderId="1" xfId="1" applyNumberFormat="1" applyFont="1" applyFill="1" applyBorder="1" applyAlignment="1">
      <alignment vertical="center" wrapText="1"/>
    </xf>
    <xf numFmtId="4" fontId="62" fillId="3" borderId="1" xfId="35" applyNumberFormat="1" applyFont="1" applyFill="1" applyBorder="1" applyAlignment="1">
      <alignment vertical="center" wrapText="1"/>
    </xf>
    <xf numFmtId="169" fontId="56" fillId="3" borderId="1" xfId="1" applyNumberFormat="1" applyFont="1" applyFill="1" applyBorder="1" applyAlignment="1">
      <alignment horizontal="center" vertical="center" wrapText="1"/>
    </xf>
    <xf numFmtId="0" fontId="56" fillId="3" borderId="1" xfId="1" applyFont="1" applyFill="1" applyBorder="1" applyAlignment="1">
      <alignment vertical="center" wrapText="1"/>
    </xf>
    <xf numFmtId="167" fontId="56" fillId="3" borderId="1" xfId="1" applyNumberFormat="1" applyFont="1" applyFill="1" applyBorder="1" applyAlignment="1">
      <alignment horizontal="right" vertical="center" wrapText="1"/>
    </xf>
    <xf numFmtId="167" fontId="53" fillId="3" borderId="1" xfId="1" applyNumberFormat="1" applyFont="1" applyFill="1" applyBorder="1" applyAlignment="1">
      <alignment horizontal="right" vertical="center" wrapText="1"/>
    </xf>
    <xf numFmtId="167" fontId="56" fillId="3" borderId="1" xfId="35" applyNumberFormat="1" applyFont="1" applyFill="1" applyBorder="1" applyAlignment="1">
      <alignment horizontal="right" vertical="center" wrapText="1"/>
    </xf>
    <xf numFmtId="167" fontId="61" fillId="3" borderId="1" xfId="35" applyNumberFormat="1" applyFont="1" applyFill="1" applyBorder="1" applyAlignment="1">
      <alignment horizontal="right" vertical="center" wrapText="1"/>
    </xf>
    <xf numFmtId="0" fontId="61" fillId="3" borderId="1" xfId="1" applyFont="1" applyFill="1" applyBorder="1" applyAlignment="1">
      <alignment horizontal="right" vertical="center" wrapText="1"/>
    </xf>
    <xf numFmtId="4" fontId="61" fillId="3" borderId="1" xfId="1" applyNumberFormat="1" applyFont="1" applyFill="1" applyBorder="1" applyAlignment="1">
      <alignment vertical="center" wrapText="1"/>
    </xf>
    <xf numFmtId="0" fontId="56" fillId="3" borderId="1" xfId="1" applyFont="1" applyFill="1" applyBorder="1" applyAlignment="1">
      <alignment horizontal="left" vertical="top" wrapText="1"/>
    </xf>
    <xf numFmtId="170" fontId="56" fillId="3" borderId="1" xfId="35" applyNumberFormat="1" applyFont="1" applyFill="1" applyBorder="1" applyAlignment="1">
      <alignment horizontal="center" vertical="center" wrapText="1"/>
    </xf>
    <xf numFmtId="0" fontId="62" fillId="3" borderId="1" xfId="1" applyFont="1" applyFill="1" applyBorder="1" applyAlignment="1">
      <alignment horizontal="center" vertical="center" wrapText="1"/>
    </xf>
    <xf numFmtId="168" fontId="61" fillId="3" borderId="1" xfId="35" applyFont="1" applyFill="1" applyBorder="1" applyAlignment="1">
      <alignment vertical="center" wrapText="1"/>
    </xf>
    <xf numFmtId="49" fontId="12" fillId="3" borderId="1" xfId="1" applyNumberFormat="1" applyFont="1" applyFill="1" applyBorder="1" applyAlignment="1">
      <alignment horizontal="center" vertical="distributed" wrapText="1"/>
    </xf>
    <xf numFmtId="0" fontId="56" fillId="3" borderId="1" xfId="1" applyFont="1" applyFill="1" applyBorder="1" applyAlignment="1">
      <alignment horizontal="left" wrapText="1"/>
    </xf>
    <xf numFmtId="9" fontId="56" fillId="3" borderId="1" xfId="32" applyFont="1" applyFill="1" applyBorder="1" applyAlignment="1">
      <alignment horizontal="center" vertical="center" wrapText="1"/>
    </xf>
    <xf numFmtId="0" fontId="56" fillId="3" borderId="1" xfId="1" applyFont="1" applyFill="1" applyBorder="1" applyAlignment="1">
      <alignment horizontal="center" wrapText="1"/>
    </xf>
    <xf numFmtId="3" fontId="61" fillId="3" borderId="1" xfId="1" applyNumberFormat="1" applyFont="1" applyFill="1" applyBorder="1" applyAlignment="1">
      <alignment vertical="center" wrapText="1"/>
    </xf>
    <xf numFmtId="0" fontId="61" fillId="3" borderId="1" xfId="1" applyFont="1" applyFill="1" applyBorder="1" applyAlignment="1">
      <alignment horizontal="left" wrapText="1"/>
    </xf>
    <xf numFmtId="4" fontId="54" fillId="3" borderId="1" xfId="35" applyNumberFormat="1" applyFont="1" applyFill="1" applyBorder="1" applyAlignment="1">
      <alignment horizontal="right" vertical="center" wrapText="1"/>
    </xf>
    <xf numFmtId="0" fontId="45" fillId="3" borderId="0" xfId="1" applyFont="1" applyFill="1" applyAlignment="1">
      <alignment horizontal="left"/>
    </xf>
    <xf numFmtId="0" fontId="45" fillId="3" borderId="1" xfId="34" applyFont="1" applyFill="1" applyBorder="1" applyAlignment="1">
      <alignment horizontal="left" vertical="center" wrapText="1"/>
    </xf>
    <xf numFmtId="1" fontId="63" fillId="6" borderId="1" xfId="33" applyNumberFormat="1" applyFont="1" applyFill="1" applyBorder="1" applyAlignment="1">
      <alignment horizontal="center" vertical="top" wrapText="1"/>
    </xf>
    <xf numFmtId="0" fontId="40" fillId="3" borderId="0" xfId="1" applyFont="1" applyFill="1" applyAlignment="1">
      <alignment vertical="center"/>
    </xf>
    <xf numFmtId="167" fontId="45" fillId="3" borderId="0" xfId="1" applyNumberFormat="1" applyFont="1" applyFill="1"/>
    <xf numFmtId="3" fontId="21" fillId="3" borderId="0" xfId="1" applyNumberFormat="1" applyFont="1" applyFill="1" applyAlignment="1">
      <alignment vertical="center" wrapText="1"/>
    </xf>
    <xf numFmtId="3" fontId="54" fillId="3" borderId="3" xfId="1" applyNumberFormat="1" applyFont="1" applyFill="1" applyBorder="1" applyAlignment="1">
      <alignment horizontal="center" vertical="center" wrapText="1"/>
    </xf>
    <xf numFmtId="164" fontId="45" fillId="3" borderId="0" xfId="1" applyNumberFormat="1" applyFont="1" applyFill="1"/>
    <xf numFmtId="49" fontId="10" fillId="3" borderId="1" xfId="1" applyNumberFormat="1" applyFont="1" applyFill="1" applyBorder="1" applyAlignment="1">
      <alignment horizontal="center" vertical="center"/>
    </xf>
    <xf numFmtId="49" fontId="10" fillId="3" borderId="1" xfId="1" applyNumberFormat="1" applyFont="1" applyFill="1" applyBorder="1" applyAlignment="1">
      <alignment horizontal="center" vertical="distributed" wrapText="1"/>
    </xf>
    <xf numFmtId="165" fontId="10" fillId="3" borderId="1" xfId="1" applyNumberFormat="1" applyFont="1" applyFill="1" applyBorder="1" applyAlignment="1">
      <alignment horizontal="left" vertical="center" wrapText="1"/>
    </xf>
    <xf numFmtId="0" fontId="12" fillId="3" borderId="0" xfId="1" applyFont="1" applyFill="1" applyAlignment="1">
      <alignment vertical="distributed"/>
    </xf>
    <xf numFmtId="49" fontId="10" fillId="3" borderId="1" xfId="1" applyNumberFormat="1" applyFont="1" applyFill="1" applyBorder="1" applyAlignment="1">
      <alignment horizontal="center" vertical="center" wrapText="1"/>
    </xf>
    <xf numFmtId="165" fontId="10" fillId="3" borderId="1" xfId="1" applyNumberFormat="1" applyFont="1" applyFill="1" applyBorder="1" applyAlignment="1">
      <alignment vertical="center" wrapText="1"/>
    </xf>
    <xf numFmtId="165" fontId="64" fillId="3" borderId="1" xfId="1" applyNumberFormat="1" applyFont="1" applyFill="1" applyBorder="1" applyAlignment="1">
      <alignment horizontal="left" vertical="center" wrapText="1"/>
    </xf>
    <xf numFmtId="3" fontId="16" fillId="2" borderId="1" xfId="7" applyNumberFormat="1" applyFont="1" applyFill="1" applyBorder="1" applyAlignment="1">
      <alignment horizontal="center" vertical="center" wrapText="1"/>
    </xf>
    <xf numFmtId="3" fontId="28" fillId="2" borderId="1" xfId="7" applyNumberFormat="1" applyFont="1" applyFill="1" applyBorder="1" applyAlignment="1">
      <alignment horizontal="center" vertical="center"/>
    </xf>
    <xf numFmtId="4" fontId="16" fillId="2" borderId="1" xfId="7" applyNumberFormat="1" applyFont="1" applyFill="1" applyBorder="1" applyAlignment="1">
      <alignment horizontal="center" vertical="center" wrapText="1"/>
    </xf>
    <xf numFmtId="49" fontId="51" fillId="2" borderId="1" xfId="1" applyNumberFormat="1" applyFont="1" applyFill="1" applyBorder="1" applyAlignment="1">
      <alignment horizontal="center" vertical="center"/>
    </xf>
    <xf numFmtId="49" fontId="51" fillId="2" borderId="1" xfId="1" applyNumberFormat="1" applyFont="1" applyFill="1" applyBorder="1" applyAlignment="1">
      <alignment horizontal="center" vertical="center" wrapText="1"/>
    </xf>
    <xf numFmtId="0" fontId="51" fillId="2" borderId="1" xfId="1" applyFont="1" applyFill="1" applyBorder="1" applyAlignment="1">
      <alignment vertical="center" wrapText="1"/>
    </xf>
    <xf numFmtId="0" fontId="51" fillId="2" borderId="1" xfId="1" applyFont="1" applyFill="1" applyBorder="1" applyAlignment="1">
      <alignment horizontal="left" vertical="center" wrapText="1"/>
    </xf>
    <xf numFmtId="3" fontId="51" fillId="2" borderId="1" xfId="7" applyNumberFormat="1" applyFont="1" applyFill="1" applyBorder="1" applyAlignment="1">
      <alignment horizontal="left" vertical="center" wrapText="1"/>
    </xf>
    <xf numFmtId="0" fontId="49" fillId="0" borderId="1" xfId="12" applyFont="1" applyBorder="1" applyAlignment="1">
      <alignment horizontal="center" vertical="center" wrapText="1"/>
    </xf>
    <xf numFmtId="0" fontId="49" fillId="0" borderId="1" xfId="13" applyFont="1" applyBorder="1" applyAlignment="1">
      <alignment horizontal="center" vertical="center" wrapText="1"/>
    </xf>
    <xf numFmtId="0" fontId="49" fillId="0" borderId="1" xfId="14" applyFont="1" applyBorder="1" applyAlignment="1">
      <alignment horizontal="center" vertical="center" wrapText="1"/>
    </xf>
    <xf numFmtId="0" fontId="49" fillId="2" borderId="1" xfId="1" applyFont="1" applyFill="1" applyBorder="1" applyAlignment="1">
      <alignment vertical="center" wrapText="1"/>
    </xf>
    <xf numFmtId="0" fontId="49" fillId="0" borderId="1" xfId="20" applyFont="1" applyBorder="1" applyAlignment="1">
      <alignment horizontal="center" vertical="center" wrapText="1"/>
    </xf>
    <xf numFmtId="0" fontId="49" fillId="0" borderId="1" xfId="21" applyFont="1" applyBorder="1" applyAlignment="1">
      <alignment horizontal="center" vertical="center" wrapText="1"/>
    </xf>
    <xf numFmtId="0" fontId="51" fillId="2" borderId="1" xfId="26" applyFont="1" applyFill="1" applyBorder="1" applyAlignment="1">
      <alignment horizontal="left" vertical="center" wrapText="1"/>
    </xf>
    <xf numFmtId="0" fontId="51" fillId="2" borderId="1" xfId="7" applyFont="1" applyFill="1" applyBorder="1" applyAlignment="1">
      <alignment horizontal="left" vertical="center" wrapText="1"/>
    </xf>
    <xf numFmtId="0" fontId="51" fillId="3" borderId="1" xfId="37" quotePrefix="1" applyFont="1" applyFill="1" applyBorder="1" applyAlignment="1">
      <alignment horizontal="center" vertical="center" wrapText="1"/>
    </xf>
    <xf numFmtId="4" fontId="51" fillId="3" borderId="1" xfId="37" quotePrefix="1" applyNumberFormat="1" applyFont="1" applyFill="1" applyBorder="1" applyAlignment="1">
      <alignment horizontal="center" vertical="center" wrapText="1"/>
    </xf>
    <xf numFmtId="4" fontId="51" fillId="3" borderId="1" xfId="37" quotePrefix="1" applyNumberFormat="1" applyFont="1" applyFill="1" applyBorder="1" applyAlignment="1">
      <alignment vertical="center" wrapText="1"/>
    </xf>
    <xf numFmtId="0" fontId="50" fillId="3" borderId="1" xfId="37" applyFont="1" applyFill="1" applyBorder="1" applyAlignment="1">
      <alignment horizontal="center" vertical="center" wrapText="1"/>
    </xf>
    <xf numFmtId="0" fontId="50" fillId="3" borderId="1" xfId="37" quotePrefix="1" applyFont="1" applyFill="1" applyBorder="1" applyAlignment="1">
      <alignment horizontal="center" vertical="center" wrapText="1"/>
    </xf>
    <xf numFmtId="4" fontId="50" fillId="3" borderId="1" xfId="37" applyNumberFormat="1" applyFont="1" applyFill="1" applyBorder="1" applyAlignment="1">
      <alignment horizontal="center" vertical="center" wrapText="1"/>
    </xf>
    <xf numFmtId="4" fontId="50" fillId="3" borderId="1" xfId="37" quotePrefix="1" applyNumberFormat="1" applyFont="1" applyFill="1" applyBorder="1" applyAlignment="1">
      <alignment vertical="center" wrapText="1"/>
    </xf>
    <xf numFmtId="4" fontId="50" fillId="3" borderId="1" xfId="38" applyNumberFormat="1" applyFont="1" applyFill="1" applyBorder="1" applyAlignment="1">
      <alignment vertical="center" wrapText="1"/>
    </xf>
    <xf numFmtId="4" fontId="51" fillId="3" borderId="1" xfId="38" applyNumberFormat="1" applyFont="1" applyFill="1" applyBorder="1" applyAlignment="1">
      <alignment vertical="center" wrapText="1"/>
    </xf>
    <xf numFmtId="0" fontId="12" fillId="0" borderId="0" xfId="1" applyFont="1" applyAlignment="1">
      <alignment horizontal="center"/>
    </xf>
    <xf numFmtId="0" fontId="12" fillId="0" borderId="0" xfId="4" applyFont="1" applyAlignment="1">
      <alignment horizontal="left"/>
    </xf>
    <xf numFmtId="0" fontId="11" fillId="0" borderId="0" xfId="1" applyFont="1" applyAlignment="1">
      <alignment horizontal="left" vertical="center" wrapText="1"/>
    </xf>
    <xf numFmtId="0" fontId="23" fillId="0" borderId="0" xfId="1" applyFont="1" applyAlignment="1">
      <alignment horizontal="center"/>
    </xf>
    <xf numFmtId="0" fontId="9" fillId="0" borderId="0" xfId="1" applyFont="1" applyAlignment="1">
      <alignment horizontal="center"/>
    </xf>
    <xf numFmtId="0" fontId="13" fillId="0" borderId="0" xfId="1" applyFont="1" applyAlignment="1">
      <alignment horizontal="center"/>
    </xf>
    <xf numFmtId="49" fontId="15" fillId="0" borderId="0" xfId="1" applyNumberFormat="1" applyFont="1" applyAlignment="1">
      <alignment horizontal="center"/>
    </xf>
    <xf numFmtId="0" fontId="12" fillId="0" borderId="0" xfId="1" applyFont="1" applyAlignment="1">
      <alignment horizontal="center" vertical="top"/>
    </xf>
    <xf numFmtId="0" fontId="16" fillId="0" borderId="1" xfId="1" applyFont="1" applyBorder="1" applyAlignment="1">
      <alignment horizontal="center" vertical="center"/>
    </xf>
    <xf numFmtId="0" fontId="16" fillId="0" borderId="1" xfId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 wrapText="1"/>
    </xf>
    <xf numFmtId="3" fontId="16" fillId="0" borderId="1" xfId="1" applyNumberFormat="1" applyFont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9" fillId="2" borderId="0" xfId="1" applyFont="1" applyFill="1" applyAlignment="1">
      <alignment horizontal="left" vertical="center" wrapText="1"/>
    </xf>
    <xf numFmtId="49" fontId="23" fillId="2" borderId="0" xfId="1" applyNumberFormat="1" applyFont="1" applyFill="1" applyAlignment="1">
      <alignment horizontal="center" vertical="center"/>
    </xf>
    <xf numFmtId="0" fontId="23" fillId="2" borderId="0" xfId="1" applyFont="1" applyFill="1" applyAlignment="1">
      <alignment horizontal="center" vertical="center" wrapText="1"/>
    </xf>
    <xf numFmtId="49" fontId="26" fillId="2" borderId="0" xfId="1" applyNumberFormat="1" applyFont="1" applyFill="1" applyAlignment="1">
      <alignment horizontal="left" vertical="center" wrapText="1"/>
    </xf>
    <xf numFmtId="0" fontId="27" fillId="2" borderId="1" xfId="1" applyFont="1" applyFill="1" applyBorder="1" applyAlignment="1">
      <alignment horizontal="center" vertical="center" wrapText="1"/>
    </xf>
    <xf numFmtId="0" fontId="12" fillId="3" borderId="0" xfId="1" applyFont="1" applyFill="1" applyAlignment="1">
      <alignment horizontal="left" vertical="center" wrapText="1"/>
    </xf>
    <xf numFmtId="0" fontId="23" fillId="3" borderId="0" xfId="1" applyFont="1" applyFill="1" applyAlignment="1">
      <alignment horizontal="center" vertical="center" wrapText="1"/>
    </xf>
    <xf numFmtId="49" fontId="39" fillId="2" borderId="0" xfId="1" applyNumberFormat="1" applyFont="1" applyFill="1" applyAlignment="1">
      <alignment horizontal="left" vertical="center" wrapText="1"/>
    </xf>
    <xf numFmtId="0" fontId="10" fillId="3" borderId="1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left" vertical="center" wrapText="1"/>
    </xf>
    <xf numFmtId="49" fontId="22" fillId="3" borderId="0" xfId="1" applyNumberFormat="1" applyFont="1" applyFill="1" applyAlignment="1">
      <alignment horizontal="center" vertical="center"/>
    </xf>
    <xf numFmtId="0" fontId="22" fillId="3" borderId="0" xfId="1" applyFont="1" applyFill="1" applyAlignment="1">
      <alignment horizontal="center" vertical="center" wrapText="1"/>
    </xf>
    <xf numFmtId="49" fontId="26" fillId="3" borderId="0" xfId="1" applyNumberFormat="1" applyFont="1" applyFill="1" applyAlignment="1">
      <alignment horizontal="left" vertical="center" wrapText="1"/>
    </xf>
    <xf numFmtId="0" fontId="27" fillId="3" borderId="1" xfId="1" applyFont="1" applyFill="1" applyBorder="1" applyAlignment="1">
      <alignment horizontal="center" vertical="center" wrapText="1"/>
    </xf>
    <xf numFmtId="0" fontId="45" fillId="0" borderId="1" xfId="1" applyFont="1" applyBorder="1" applyAlignment="1">
      <alignment horizontal="center" vertical="center" wrapText="1"/>
    </xf>
    <xf numFmtId="0" fontId="12" fillId="0" borderId="0" xfId="1" applyFont="1" applyAlignment="1">
      <alignment horizontal="left" wrapText="1"/>
    </xf>
    <xf numFmtId="0" fontId="41" fillId="0" borderId="0" xfId="10" applyFont="1" applyAlignment="1">
      <alignment horizontal="center" vertical="center" wrapText="1"/>
    </xf>
    <xf numFmtId="0" fontId="23" fillId="0" borderId="0" xfId="10" applyFont="1" applyAlignment="1">
      <alignment horizontal="center"/>
    </xf>
    <xf numFmtId="0" fontId="42" fillId="0" borderId="0" xfId="10" applyFont="1" applyAlignment="1">
      <alignment horizontal="center"/>
    </xf>
    <xf numFmtId="0" fontId="43" fillId="0" borderId="0" xfId="10" quotePrefix="1" applyFont="1" applyAlignment="1">
      <alignment horizontal="center"/>
    </xf>
    <xf numFmtId="0" fontId="41" fillId="0" borderId="0" xfId="10" applyFont="1" applyAlignment="1">
      <alignment horizontal="center"/>
    </xf>
    <xf numFmtId="0" fontId="44" fillId="0" borderId="1" xfId="10" applyFont="1" applyBorder="1" applyAlignment="1">
      <alignment horizontal="center"/>
    </xf>
    <xf numFmtId="0" fontId="44" fillId="0" borderId="8" xfId="10" applyFont="1" applyBorder="1" applyAlignment="1">
      <alignment horizontal="center" vertical="center"/>
    </xf>
    <xf numFmtId="0" fontId="44" fillId="0" borderId="10" xfId="10" applyFont="1" applyBorder="1" applyAlignment="1">
      <alignment horizontal="center"/>
    </xf>
    <xf numFmtId="0" fontId="44" fillId="0" borderId="9" xfId="10" applyFont="1" applyBorder="1" applyAlignment="1">
      <alignment horizontal="center"/>
    </xf>
    <xf numFmtId="0" fontId="12" fillId="3" borderId="0" xfId="1" applyFont="1" applyFill="1" applyAlignment="1">
      <alignment horizontal="center" vertical="center" wrapText="1"/>
    </xf>
    <xf numFmtId="0" fontId="52" fillId="3" borderId="0" xfId="1" applyFont="1" applyFill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4" fillId="2" borderId="0" xfId="1" applyFont="1" applyFill="1" applyAlignment="1">
      <alignment horizontal="left" vertical="center" wrapText="1"/>
    </xf>
    <xf numFmtId="0" fontId="12" fillId="2" borderId="0" xfId="1" applyFont="1" applyFill="1" applyAlignment="1">
      <alignment horizontal="left" vertical="center" wrapText="1"/>
    </xf>
    <xf numFmtId="0" fontId="16" fillId="2" borderId="1" xfId="1" applyFont="1" applyFill="1" applyBorder="1" applyAlignment="1">
      <alignment horizontal="center" vertical="center" wrapText="1"/>
    </xf>
    <xf numFmtId="49" fontId="12" fillId="2" borderId="1" xfId="1" applyNumberFormat="1" applyFont="1" applyFill="1" applyBorder="1" applyAlignment="1">
      <alignment horizontal="center" vertical="center"/>
    </xf>
    <xf numFmtId="0" fontId="8" fillId="2" borderId="1" xfId="1" applyFill="1" applyBorder="1" applyAlignment="1">
      <alignment horizontal="center" vertical="center"/>
    </xf>
    <xf numFmtId="49" fontId="12" fillId="2" borderId="1" xfId="1" applyNumberFormat="1" applyFont="1" applyFill="1" applyBorder="1" applyAlignment="1">
      <alignment horizontal="center" vertical="center" wrapText="1"/>
    </xf>
    <xf numFmtId="0" fontId="8" fillId="2" borderId="1" xfId="1" applyFill="1" applyBorder="1" applyAlignment="1">
      <alignment horizontal="center" vertical="center" wrapText="1"/>
    </xf>
    <xf numFmtId="165" fontId="12" fillId="2" borderId="1" xfId="1" applyNumberFormat="1" applyFont="1" applyFill="1" applyBorder="1" applyAlignment="1">
      <alignment horizontal="left" vertical="center" wrapText="1"/>
    </xf>
    <xf numFmtId="0" fontId="8" fillId="2" borderId="1" xfId="1" applyFill="1" applyBorder="1" applyAlignment="1">
      <alignment horizontal="left" vertical="center" wrapText="1"/>
    </xf>
    <xf numFmtId="0" fontId="12" fillId="2" borderId="1" xfId="1" applyFont="1" applyFill="1" applyBorder="1" applyAlignment="1">
      <alignment horizontal="left" vertical="center" wrapText="1"/>
    </xf>
    <xf numFmtId="3" fontId="12" fillId="3" borderId="1" xfId="7" applyNumberFormat="1" applyFont="1" applyFill="1" applyBorder="1" applyAlignment="1">
      <alignment horizontal="left" vertical="center" wrapText="1"/>
    </xf>
    <xf numFmtId="49" fontId="12" fillId="2" borderId="3" xfId="1" applyNumberFormat="1" applyFont="1" applyFill="1" applyBorder="1" applyAlignment="1">
      <alignment horizontal="center" vertical="center" wrapText="1"/>
    </xf>
    <xf numFmtId="49" fontId="12" fillId="2" borderId="6" xfId="1" applyNumberFormat="1" applyFont="1" applyFill="1" applyBorder="1" applyAlignment="1">
      <alignment horizontal="center" vertical="center" wrapText="1"/>
    </xf>
    <xf numFmtId="3" fontId="12" fillId="2" borderId="3" xfId="7" applyNumberFormat="1" applyFont="1" applyFill="1" applyBorder="1" applyAlignment="1">
      <alignment horizontal="center" vertical="center" wrapText="1"/>
    </xf>
    <xf numFmtId="3" fontId="12" fillId="2" borderId="6" xfId="7" applyNumberFormat="1" applyFont="1" applyFill="1" applyBorder="1" applyAlignment="1">
      <alignment horizontal="center" vertical="center" wrapText="1"/>
    </xf>
    <xf numFmtId="165" fontId="12" fillId="2" borderId="1" xfId="7" applyNumberFormat="1" applyFont="1" applyFill="1" applyBorder="1" applyAlignment="1">
      <alignment horizontal="left" vertical="center" wrapText="1"/>
    </xf>
    <xf numFmtId="3" fontId="12" fillId="2" borderId="1" xfId="26" applyNumberFormat="1" applyFont="1" applyFill="1" applyBorder="1" applyAlignment="1">
      <alignment horizontal="left" vertical="center" wrapText="1"/>
    </xf>
    <xf numFmtId="49" fontId="51" fillId="2" borderId="3" xfId="1" applyNumberFormat="1" applyFont="1" applyFill="1" applyBorder="1" applyAlignment="1">
      <alignment horizontal="center" vertical="center" wrapText="1"/>
    </xf>
    <xf numFmtId="49" fontId="12" fillId="2" borderId="5" xfId="1" applyNumberFormat="1" applyFont="1" applyFill="1" applyBorder="1" applyAlignment="1">
      <alignment horizontal="center" vertical="center" wrapText="1"/>
    </xf>
    <xf numFmtId="0" fontId="8" fillId="2" borderId="6" xfId="1" applyFill="1" applyBorder="1" applyAlignment="1">
      <alignment horizontal="center" vertical="center" wrapText="1"/>
    </xf>
    <xf numFmtId="49" fontId="51" fillId="2" borderId="1" xfId="1" applyNumberFormat="1" applyFont="1" applyFill="1" applyBorder="1" applyAlignment="1">
      <alignment horizontal="center" vertical="center"/>
    </xf>
    <xf numFmtId="49" fontId="51" fillId="2" borderId="1" xfId="1" applyNumberFormat="1" applyFont="1" applyFill="1" applyBorder="1" applyAlignment="1">
      <alignment horizontal="center" vertical="center" wrapText="1"/>
    </xf>
    <xf numFmtId="165" fontId="51" fillId="2" borderId="1" xfId="1" applyNumberFormat="1" applyFont="1" applyFill="1" applyBorder="1" applyAlignment="1">
      <alignment horizontal="left" vertical="center" wrapText="1"/>
    </xf>
    <xf numFmtId="165" fontId="12" fillId="2" borderId="3" xfId="7" applyNumberFormat="1" applyFont="1" applyFill="1" applyBorder="1" applyAlignment="1" applyProtection="1">
      <alignment horizontal="left" vertical="center" wrapText="1"/>
      <protection locked="0"/>
    </xf>
    <xf numFmtId="165" fontId="12" fillId="2" borderId="6" xfId="7" applyNumberFormat="1" applyFont="1" applyFill="1" applyBorder="1" applyAlignment="1" applyProtection="1">
      <alignment horizontal="left" vertical="center" wrapText="1"/>
      <protection locked="0"/>
    </xf>
    <xf numFmtId="0" fontId="9" fillId="2" borderId="3" xfId="7" applyFont="1" applyFill="1" applyBorder="1" applyAlignment="1">
      <alignment horizontal="left" vertical="center" wrapText="1"/>
    </xf>
    <xf numFmtId="0" fontId="9" fillId="2" borderId="6" xfId="7" applyFont="1" applyFill="1" applyBorder="1" applyAlignment="1">
      <alignment horizontal="left" vertical="center" wrapText="1"/>
    </xf>
    <xf numFmtId="0" fontId="12" fillId="2" borderId="1" xfId="7" applyFont="1" applyFill="1" applyBorder="1" applyAlignment="1">
      <alignment horizontal="left" vertical="center" wrapText="1"/>
    </xf>
    <xf numFmtId="165" fontId="12" fillId="2" borderId="3" xfId="1" applyNumberFormat="1" applyFont="1" applyFill="1" applyBorder="1" applyAlignment="1">
      <alignment horizontal="left" vertical="center" wrapText="1"/>
    </xf>
    <xf numFmtId="165" fontId="12" fillId="2" borderId="5" xfId="1" applyNumberFormat="1" applyFont="1" applyFill="1" applyBorder="1" applyAlignment="1">
      <alignment horizontal="left" vertical="center" wrapText="1"/>
    </xf>
    <xf numFmtId="165" fontId="12" fillId="2" borderId="6" xfId="1" applyNumberFormat="1" applyFont="1" applyFill="1" applyBorder="1" applyAlignment="1">
      <alignment horizontal="left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left" vertical="center" wrapText="1"/>
    </xf>
    <xf numFmtId="0" fontId="12" fillId="2" borderId="6" xfId="1" applyFont="1" applyFill="1" applyBorder="1" applyAlignment="1">
      <alignment horizontal="left" vertical="center" wrapText="1"/>
    </xf>
    <xf numFmtId="3" fontId="12" fillId="2" borderId="3" xfId="7" applyNumberFormat="1" applyFont="1" applyFill="1" applyBorder="1" applyAlignment="1">
      <alignment horizontal="left" vertical="center" wrapText="1"/>
    </xf>
    <xf numFmtId="3" fontId="12" fillId="2" borderId="6" xfId="7" applyNumberFormat="1" applyFont="1" applyFill="1" applyBorder="1" applyAlignment="1">
      <alignment horizontal="left" vertical="center" wrapText="1"/>
    </xf>
    <xf numFmtId="165" fontId="12" fillId="2" borderId="3" xfId="7" applyNumberFormat="1" applyFont="1" applyFill="1" applyBorder="1" applyAlignment="1">
      <alignment horizontal="left" vertical="center" wrapText="1"/>
    </xf>
    <xf numFmtId="165" fontId="12" fillId="2" borderId="5" xfId="7" applyNumberFormat="1" applyFont="1" applyFill="1" applyBorder="1" applyAlignment="1">
      <alignment horizontal="left" vertical="center" wrapText="1"/>
    </xf>
    <xf numFmtId="3" fontId="12" fillId="2" borderId="5" xfId="7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left" vertical="center" wrapText="1"/>
    </xf>
    <xf numFmtId="0" fontId="12" fillId="2" borderId="0" xfId="1" applyFont="1" applyFill="1" applyAlignment="1">
      <alignment horizontal="center" vertical="top"/>
    </xf>
    <xf numFmtId="0" fontId="13" fillId="3" borderId="0" xfId="1" applyFont="1" applyFill="1" applyAlignment="1">
      <alignment horizontal="center"/>
    </xf>
    <xf numFmtId="0" fontId="12" fillId="2" borderId="0" xfId="1" applyFont="1" applyFill="1" applyAlignment="1">
      <alignment horizontal="center"/>
    </xf>
    <xf numFmtId="0" fontId="13" fillId="2" borderId="0" xfId="1" applyFont="1" applyFill="1" applyAlignment="1">
      <alignment horizontal="center" wrapText="1"/>
    </xf>
    <xf numFmtId="49" fontId="15" fillId="2" borderId="0" xfId="1" applyNumberFormat="1" applyFont="1" applyFill="1" applyAlignment="1">
      <alignment horizontal="center"/>
    </xf>
    <xf numFmtId="0" fontId="16" fillId="2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3" fontId="16" fillId="3" borderId="1" xfId="1" applyNumberFormat="1" applyFont="1" applyFill="1" applyBorder="1" applyAlignment="1">
      <alignment horizontal="center" vertical="center" wrapText="1"/>
    </xf>
    <xf numFmtId="3" fontId="16" fillId="3" borderId="1" xfId="1" applyNumberFormat="1" applyFont="1" applyFill="1" applyBorder="1" applyAlignment="1">
      <alignment horizontal="center" vertical="center"/>
    </xf>
    <xf numFmtId="49" fontId="39" fillId="3" borderId="0" xfId="1" applyNumberFormat="1" applyFont="1" applyFill="1" applyAlignment="1">
      <alignment horizontal="left" vertical="center" wrapText="1"/>
    </xf>
    <xf numFmtId="49" fontId="16" fillId="3" borderId="0" xfId="1" applyNumberFormat="1" applyFont="1" applyFill="1" applyAlignment="1">
      <alignment horizontal="center" vertical="center"/>
    </xf>
    <xf numFmtId="0" fontId="16" fillId="3" borderId="0" xfId="1" applyFont="1" applyFill="1" applyAlignment="1">
      <alignment horizontal="center" vertical="center" wrapText="1"/>
    </xf>
    <xf numFmtId="0" fontId="12" fillId="3" borderId="1" xfId="27" applyFont="1" applyFill="1" applyBorder="1" applyAlignment="1">
      <alignment horizontal="center" vertical="center" wrapText="1"/>
    </xf>
    <xf numFmtId="0" fontId="40" fillId="3" borderId="0" xfId="1" applyFont="1" applyFill="1" applyAlignment="1">
      <alignment horizontal="center" wrapText="1"/>
    </xf>
    <xf numFmtId="0" fontId="51" fillId="3" borderId="0" xfId="1" applyFont="1" applyFill="1" applyAlignment="1">
      <alignment horizontal="left" vertical="center" wrapText="1"/>
    </xf>
    <xf numFmtId="4" fontId="54" fillId="3" borderId="3" xfId="1" applyNumberFormat="1" applyFont="1" applyFill="1" applyBorder="1" applyAlignment="1">
      <alignment horizontal="right" vertical="center" wrapText="1"/>
    </xf>
    <xf numFmtId="4" fontId="45" fillId="3" borderId="1" xfId="1" applyNumberFormat="1" applyFont="1" applyFill="1" applyBorder="1" applyAlignment="1">
      <alignment horizontal="right" vertical="center" wrapText="1"/>
    </xf>
    <xf numFmtId="4" fontId="53" fillId="3" borderId="3" xfId="1" applyNumberFormat="1" applyFont="1" applyFill="1" applyBorder="1" applyAlignment="1">
      <alignment horizontal="right" vertical="center" wrapText="1"/>
    </xf>
    <xf numFmtId="4" fontId="53" fillId="3" borderId="1" xfId="1" applyNumberFormat="1" applyFont="1" applyFill="1" applyBorder="1" applyAlignment="1">
      <alignment horizontal="right" vertical="center" wrapText="1"/>
    </xf>
    <xf numFmtId="4" fontId="40" fillId="3" borderId="1" xfId="1" applyNumberFormat="1" applyFont="1" applyFill="1" applyBorder="1" applyAlignment="1">
      <alignment horizontal="right" vertical="center" wrapText="1"/>
    </xf>
    <xf numFmtId="4" fontId="45" fillId="3" borderId="1" xfId="1" applyNumberFormat="1" applyFont="1" applyFill="1" applyBorder="1" applyAlignment="1">
      <alignment horizontal="right" vertical="center"/>
    </xf>
    <xf numFmtId="167" fontId="54" fillId="3" borderId="1" xfId="1" applyNumberFormat="1" applyFont="1" applyFill="1" applyBorder="1" applyAlignment="1">
      <alignment horizontal="right" vertical="center" wrapText="1"/>
    </xf>
    <xf numFmtId="167" fontId="61" fillId="3" borderId="1" xfId="1" applyNumberFormat="1" applyFont="1" applyFill="1" applyBorder="1" applyAlignment="1">
      <alignment horizontal="right" vertical="center" wrapText="1"/>
    </xf>
    <xf numFmtId="4" fontId="56" fillId="3" borderId="1" xfId="1" applyNumberFormat="1" applyFont="1" applyFill="1" applyBorder="1" applyAlignment="1">
      <alignment horizontal="right" vertical="center" wrapText="1"/>
    </xf>
    <xf numFmtId="168" fontId="56" fillId="3" borderId="1" xfId="35" applyFont="1" applyFill="1" applyBorder="1" applyAlignment="1">
      <alignment horizontal="right" vertical="center" wrapText="1"/>
    </xf>
    <xf numFmtId="168" fontId="62" fillId="3" borderId="1" xfId="35" applyFont="1" applyFill="1" applyBorder="1" applyAlignment="1">
      <alignment horizontal="right" vertical="center" wrapText="1"/>
    </xf>
    <xf numFmtId="171" fontId="61" fillId="3" borderId="1" xfId="35" applyNumberFormat="1" applyFont="1" applyFill="1" applyBorder="1" applyAlignment="1">
      <alignment horizontal="right" vertical="center" wrapText="1"/>
    </xf>
    <xf numFmtId="168" fontId="61" fillId="3" borderId="1" xfId="35" applyFont="1" applyFill="1" applyBorder="1" applyAlignment="1">
      <alignment horizontal="right" vertical="center" wrapText="1"/>
    </xf>
    <xf numFmtId="168" fontId="54" fillId="3" borderId="1" xfId="35" applyFont="1" applyFill="1" applyBorder="1" applyAlignment="1">
      <alignment horizontal="right" vertical="center" wrapText="1"/>
    </xf>
  </cellXfs>
  <cellStyles count="39">
    <cellStyle name="Відсотковий 2" xfId="32" xr:uid="{00000000-0005-0000-0000-000000000000}"/>
    <cellStyle name="Звичайний" xfId="0" builtinId="0"/>
    <cellStyle name="Звичайний 2" xfId="1" xr:uid="{00000000-0005-0000-0000-000001000000}"/>
    <cellStyle name="Звичайний 2 2" xfId="34" xr:uid="{00000000-0005-0000-0000-000002000000}"/>
    <cellStyle name="Звичайний 21" xfId="12" xr:uid="{00000000-0005-0000-0000-000003000000}"/>
    <cellStyle name="Звичайний 22" xfId="13" xr:uid="{00000000-0005-0000-0000-000004000000}"/>
    <cellStyle name="Звичайний 23" xfId="14" xr:uid="{00000000-0005-0000-0000-000005000000}"/>
    <cellStyle name="Звичайний 24" xfId="20" xr:uid="{00000000-0005-0000-0000-000006000000}"/>
    <cellStyle name="Звичайний 25" xfId="21" xr:uid="{00000000-0005-0000-0000-000007000000}"/>
    <cellStyle name="Звичайний 26 2" xfId="16" xr:uid="{00000000-0005-0000-0000-000008000000}"/>
    <cellStyle name="Звичайний 27 2" xfId="22" xr:uid="{00000000-0005-0000-0000-000009000000}"/>
    <cellStyle name="Звичайний 28" xfId="25" xr:uid="{00000000-0005-0000-0000-00000A000000}"/>
    <cellStyle name="Звичайний 29" xfId="24" xr:uid="{00000000-0005-0000-0000-00000B000000}"/>
    <cellStyle name="Звичайний 3" xfId="6" xr:uid="{00000000-0005-0000-0000-00000C000000}"/>
    <cellStyle name="Звичайний 3 2" xfId="31" xr:uid="{00000000-0005-0000-0000-00000D000000}"/>
    <cellStyle name="Звичайний 30" xfId="23" xr:uid="{00000000-0005-0000-0000-00000E000000}"/>
    <cellStyle name="Звичайний 31 2" xfId="17" xr:uid="{00000000-0005-0000-0000-00000F000000}"/>
    <cellStyle name="Звичайний 32 2" xfId="18" xr:uid="{00000000-0005-0000-0000-000010000000}"/>
    <cellStyle name="Звичайний 33 2" xfId="19" xr:uid="{00000000-0005-0000-0000-000011000000}"/>
    <cellStyle name="Звичайний 34 2" xfId="15" xr:uid="{00000000-0005-0000-0000-000012000000}"/>
    <cellStyle name="Звичайний 35 2" xfId="11" xr:uid="{00000000-0005-0000-0000-000013000000}"/>
    <cellStyle name="Звичайний 4" xfId="29" xr:uid="{00000000-0005-0000-0000-000014000000}"/>
    <cellStyle name="Звичайний 43" xfId="28" xr:uid="{00000000-0005-0000-0000-000015000000}"/>
    <cellStyle name="Звичайний 5" xfId="30" xr:uid="{00000000-0005-0000-0000-000016000000}"/>
    <cellStyle name="Звичайний 6" xfId="36" xr:uid="{00000000-0005-0000-0000-000017000000}"/>
    <cellStyle name="Звичайний 7" xfId="37" xr:uid="{00000000-0005-0000-0000-000018000000}"/>
    <cellStyle name="Звичайний 8" xfId="38" xr:uid="{00000000-0005-0000-0000-000019000000}"/>
    <cellStyle name="Звичайний_Додаток _ 3 зм_ни 4575" xfId="7" xr:uid="{00000000-0005-0000-0000-00001A000000}"/>
    <cellStyle name="Обычный 2" xfId="26" xr:uid="{00000000-0005-0000-0000-00001C000000}"/>
    <cellStyle name="Обычный 2 2" xfId="33" xr:uid="{00000000-0005-0000-0000-00001D000000}"/>
    <cellStyle name="Обычный 2 4" xfId="3" xr:uid="{00000000-0005-0000-0000-00001E000000}"/>
    <cellStyle name="Обычный 5" xfId="10" xr:uid="{00000000-0005-0000-0000-00001F000000}"/>
    <cellStyle name="Обычный 9" xfId="27" xr:uid="{00000000-0005-0000-0000-000020000000}"/>
    <cellStyle name="Обычный_ZV1PIV98" xfId="8" xr:uid="{00000000-0005-0000-0000-000021000000}"/>
    <cellStyle name="Обычный_дод на комісію про затверд бюд 2004" xfId="5" xr:uid="{00000000-0005-0000-0000-000022000000}"/>
    <cellStyle name="Обычный_дод на комісію про затверд бюд 2004_Dod 4." xfId="4" xr:uid="{00000000-0005-0000-0000-000023000000}"/>
    <cellStyle name="Обычный_Додатки 2004 2" xfId="9" xr:uid="{00000000-0005-0000-0000-000024000000}"/>
    <cellStyle name="Обычный_ОБЛАСТІ 2002 РІЙОНИ 2002" xfId="2" xr:uid="{00000000-0005-0000-0000-000025000000}"/>
    <cellStyle name="Фінансовий 2" xfId="35" xr:uid="{00000000-0005-0000-0000-000026000000}"/>
  </cellStyles>
  <dxfs count="1"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sk%20%20d/Budzet%202022/BUDZET%202022/Budzet%20zmini%2010-21%20&#1052;&#1042;&#1050;/dod%20%2010-21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d 1 "/>
      <sheetName val="dod 2"/>
      <sheetName val="dod 3"/>
      <sheetName val="dod 5"/>
      <sheetName val="dod  6"/>
      <sheetName val="dod 7"/>
    </sheetNames>
    <sheetDataSet>
      <sheetData sheetId="0">
        <row r="124">
          <cell r="D124">
            <v>97160500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2"/>
  <sheetViews>
    <sheetView view="pageBreakPreview" zoomScaleNormal="100" zoomScaleSheetLayoutView="100" workbookViewId="0">
      <selection activeCell="B34" sqref="B34"/>
    </sheetView>
  </sheetViews>
  <sheetFormatPr defaultRowHeight="15.75" x14ac:dyDescent="0.25"/>
  <cols>
    <col min="1" max="1" width="13" style="71" customWidth="1"/>
    <col min="2" max="2" width="76.140625" style="43" customWidth="1"/>
    <col min="3" max="3" width="19.42578125" style="8" customWidth="1"/>
    <col min="4" max="4" width="19.85546875" style="73" customWidth="1"/>
    <col min="5" max="5" width="18.28515625" style="8" customWidth="1"/>
    <col min="6" max="6" width="17.7109375" style="8" customWidth="1"/>
    <col min="7" max="7" width="8.85546875" style="8" customWidth="1"/>
    <col min="8" max="8" width="17" style="8" customWidth="1"/>
    <col min="9" max="256" width="9.140625" style="8"/>
    <col min="257" max="257" width="13" style="8" customWidth="1"/>
    <col min="258" max="258" width="76.140625" style="8" customWidth="1"/>
    <col min="259" max="259" width="19.42578125" style="8" customWidth="1"/>
    <col min="260" max="260" width="19.85546875" style="8" customWidth="1"/>
    <col min="261" max="261" width="18.28515625" style="8" customWidth="1"/>
    <col min="262" max="262" width="17.7109375" style="8" customWidth="1"/>
    <col min="263" max="263" width="8.85546875" style="8" customWidth="1"/>
    <col min="264" max="264" width="17" style="8" customWidth="1"/>
    <col min="265" max="512" width="9.140625" style="8"/>
    <col min="513" max="513" width="13" style="8" customWidth="1"/>
    <col min="514" max="514" width="76.140625" style="8" customWidth="1"/>
    <col min="515" max="515" width="19.42578125" style="8" customWidth="1"/>
    <col min="516" max="516" width="19.85546875" style="8" customWidth="1"/>
    <col min="517" max="517" width="18.28515625" style="8" customWidth="1"/>
    <col min="518" max="518" width="17.7109375" style="8" customWidth="1"/>
    <col min="519" max="519" width="8.85546875" style="8" customWidth="1"/>
    <col min="520" max="520" width="17" style="8" customWidth="1"/>
    <col min="521" max="768" width="9.140625" style="8"/>
    <col min="769" max="769" width="13" style="8" customWidth="1"/>
    <col min="770" max="770" width="76.140625" style="8" customWidth="1"/>
    <col min="771" max="771" width="19.42578125" style="8" customWidth="1"/>
    <col min="772" max="772" width="19.85546875" style="8" customWidth="1"/>
    <col min="773" max="773" width="18.28515625" style="8" customWidth="1"/>
    <col min="774" max="774" width="17.7109375" style="8" customWidth="1"/>
    <col min="775" max="775" width="8.85546875" style="8" customWidth="1"/>
    <col min="776" max="776" width="17" style="8" customWidth="1"/>
    <col min="777" max="1024" width="9.140625" style="8"/>
    <col min="1025" max="1025" width="13" style="8" customWidth="1"/>
    <col min="1026" max="1026" width="76.140625" style="8" customWidth="1"/>
    <col min="1027" max="1027" width="19.42578125" style="8" customWidth="1"/>
    <col min="1028" max="1028" width="19.85546875" style="8" customWidth="1"/>
    <col min="1029" max="1029" width="18.28515625" style="8" customWidth="1"/>
    <col min="1030" max="1030" width="17.7109375" style="8" customWidth="1"/>
    <col min="1031" max="1031" width="8.85546875" style="8" customWidth="1"/>
    <col min="1032" max="1032" width="17" style="8" customWidth="1"/>
    <col min="1033" max="1280" width="9.140625" style="8"/>
    <col min="1281" max="1281" width="13" style="8" customWidth="1"/>
    <col min="1282" max="1282" width="76.140625" style="8" customWidth="1"/>
    <col min="1283" max="1283" width="19.42578125" style="8" customWidth="1"/>
    <col min="1284" max="1284" width="19.85546875" style="8" customWidth="1"/>
    <col min="1285" max="1285" width="18.28515625" style="8" customWidth="1"/>
    <col min="1286" max="1286" width="17.7109375" style="8" customWidth="1"/>
    <col min="1287" max="1287" width="8.85546875" style="8" customWidth="1"/>
    <col min="1288" max="1288" width="17" style="8" customWidth="1"/>
    <col min="1289" max="1536" width="9.140625" style="8"/>
    <col min="1537" max="1537" width="13" style="8" customWidth="1"/>
    <col min="1538" max="1538" width="76.140625" style="8" customWidth="1"/>
    <col min="1539" max="1539" width="19.42578125" style="8" customWidth="1"/>
    <col min="1540" max="1540" width="19.85546875" style="8" customWidth="1"/>
    <col min="1541" max="1541" width="18.28515625" style="8" customWidth="1"/>
    <col min="1542" max="1542" width="17.7109375" style="8" customWidth="1"/>
    <col min="1543" max="1543" width="8.85546875" style="8" customWidth="1"/>
    <col min="1544" max="1544" width="17" style="8" customWidth="1"/>
    <col min="1545" max="1792" width="9.140625" style="8"/>
    <col min="1793" max="1793" width="13" style="8" customWidth="1"/>
    <col min="1794" max="1794" width="76.140625" style="8" customWidth="1"/>
    <col min="1795" max="1795" width="19.42578125" style="8" customWidth="1"/>
    <col min="1796" max="1796" width="19.85546875" style="8" customWidth="1"/>
    <col min="1797" max="1797" width="18.28515625" style="8" customWidth="1"/>
    <col min="1798" max="1798" width="17.7109375" style="8" customWidth="1"/>
    <col min="1799" max="1799" width="8.85546875" style="8" customWidth="1"/>
    <col min="1800" max="1800" width="17" style="8" customWidth="1"/>
    <col min="1801" max="2048" width="9.140625" style="8"/>
    <col min="2049" max="2049" width="13" style="8" customWidth="1"/>
    <col min="2050" max="2050" width="76.140625" style="8" customWidth="1"/>
    <col min="2051" max="2051" width="19.42578125" style="8" customWidth="1"/>
    <col min="2052" max="2052" width="19.85546875" style="8" customWidth="1"/>
    <col min="2053" max="2053" width="18.28515625" style="8" customWidth="1"/>
    <col min="2054" max="2054" width="17.7109375" style="8" customWidth="1"/>
    <col min="2055" max="2055" width="8.85546875" style="8" customWidth="1"/>
    <col min="2056" max="2056" width="17" style="8" customWidth="1"/>
    <col min="2057" max="2304" width="9.140625" style="8"/>
    <col min="2305" max="2305" width="13" style="8" customWidth="1"/>
    <col min="2306" max="2306" width="76.140625" style="8" customWidth="1"/>
    <col min="2307" max="2307" width="19.42578125" style="8" customWidth="1"/>
    <col min="2308" max="2308" width="19.85546875" style="8" customWidth="1"/>
    <col min="2309" max="2309" width="18.28515625" style="8" customWidth="1"/>
    <col min="2310" max="2310" width="17.7109375" style="8" customWidth="1"/>
    <col min="2311" max="2311" width="8.85546875" style="8" customWidth="1"/>
    <col min="2312" max="2312" width="17" style="8" customWidth="1"/>
    <col min="2313" max="2560" width="9.140625" style="8"/>
    <col min="2561" max="2561" width="13" style="8" customWidth="1"/>
    <col min="2562" max="2562" width="76.140625" style="8" customWidth="1"/>
    <col min="2563" max="2563" width="19.42578125" style="8" customWidth="1"/>
    <col min="2564" max="2564" width="19.85546875" style="8" customWidth="1"/>
    <col min="2565" max="2565" width="18.28515625" style="8" customWidth="1"/>
    <col min="2566" max="2566" width="17.7109375" style="8" customWidth="1"/>
    <col min="2567" max="2567" width="8.85546875" style="8" customWidth="1"/>
    <col min="2568" max="2568" width="17" style="8" customWidth="1"/>
    <col min="2569" max="2816" width="9.140625" style="8"/>
    <col min="2817" max="2817" width="13" style="8" customWidth="1"/>
    <col min="2818" max="2818" width="76.140625" style="8" customWidth="1"/>
    <col min="2819" max="2819" width="19.42578125" style="8" customWidth="1"/>
    <col min="2820" max="2820" width="19.85546875" style="8" customWidth="1"/>
    <col min="2821" max="2821" width="18.28515625" style="8" customWidth="1"/>
    <col min="2822" max="2822" width="17.7109375" style="8" customWidth="1"/>
    <col min="2823" max="2823" width="8.85546875" style="8" customWidth="1"/>
    <col min="2824" max="2824" width="17" style="8" customWidth="1"/>
    <col min="2825" max="3072" width="9.140625" style="8"/>
    <col min="3073" max="3073" width="13" style="8" customWidth="1"/>
    <col min="3074" max="3074" width="76.140625" style="8" customWidth="1"/>
    <col min="3075" max="3075" width="19.42578125" style="8" customWidth="1"/>
    <col min="3076" max="3076" width="19.85546875" style="8" customWidth="1"/>
    <col min="3077" max="3077" width="18.28515625" style="8" customWidth="1"/>
    <col min="3078" max="3078" width="17.7109375" style="8" customWidth="1"/>
    <col min="3079" max="3079" width="8.85546875" style="8" customWidth="1"/>
    <col min="3080" max="3080" width="17" style="8" customWidth="1"/>
    <col min="3081" max="3328" width="9.140625" style="8"/>
    <col min="3329" max="3329" width="13" style="8" customWidth="1"/>
    <col min="3330" max="3330" width="76.140625" style="8" customWidth="1"/>
    <col min="3331" max="3331" width="19.42578125" style="8" customWidth="1"/>
    <col min="3332" max="3332" width="19.85546875" style="8" customWidth="1"/>
    <col min="3333" max="3333" width="18.28515625" style="8" customWidth="1"/>
    <col min="3334" max="3334" width="17.7109375" style="8" customWidth="1"/>
    <col min="3335" max="3335" width="8.85546875" style="8" customWidth="1"/>
    <col min="3336" max="3336" width="17" style="8" customWidth="1"/>
    <col min="3337" max="3584" width="9.140625" style="8"/>
    <col min="3585" max="3585" width="13" style="8" customWidth="1"/>
    <col min="3586" max="3586" width="76.140625" style="8" customWidth="1"/>
    <col min="3587" max="3587" width="19.42578125" style="8" customWidth="1"/>
    <col min="3588" max="3588" width="19.85546875" style="8" customWidth="1"/>
    <col min="3589" max="3589" width="18.28515625" style="8" customWidth="1"/>
    <col min="3590" max="3590" width="17.7109375" style="8" customWidth="1"/>
    <col min="3591" max="3591" width="8.85546875" style="8" customWidth="1"/>
    <col min="3592" max="3592" width="17" style="8" customWidth="1"/>
    <col min="3593" max="3840" width="9.140625" style="8"/>
    <col min="3841" max="3841" width="13" style="8" customWidth="1"/>
    <col min="3842" max="3842" width="76.140625" style="8" customWidth="1"/>
    <col min="3843" max="3843" width="19.42578125" style="8" customWidth="1"/>
    <col min="3844" max="3844" width="19.85546875" style="8" customWidth="1"/>
    <col min="3845" max="3845" width="18.28515625" style="8" customWidth="1"/>
    <col min="3846" max="3846" width="17.7109375" style="8" customWidth="1"/>
    <col min="3847" max="3847" width="8.85546875" style="8" customWidth="1"/>
    <col min="3848" max="3848" width="17" style="8" customWidth="1"/>
    <col min="3849" max="4096" width="9.140625" style="8"/>
    <col min="4097" max="4097" width="13" style="8" customWidth="1"/>
    <col min="4098" max="4098" width="76.140625" style="8" customWidth="1"/>
    <col min="4099" max="4099" width="19.42578125" style="8" customWidth="1"/>
    <col min="4100" max="4100" width="19.85546875" style="8" customWidth="1"/>
    <col min="4101" max="4101" width="18.28515625" style="8" customWidth="1"/>
    <col min="4102" max="4102" width="17.7109375" style="8" customWidth="1"/>
    <col min="4103" max="4103" width="8.85546875" style="8" customWidth="1"/>
    <col min="4104" max="4104" width="17" style="8" customWidth="1"/>
    <col min="4105" max="4352" width="9.140625" style="8"/>
    <col min="4353" max="4353" width="13" style="8" customWidth="1"/>
    <col min="4354" max="4354" width="76.140625" style="8" customWidth="1"/>
    <col min="4355" max="4355" width="19.42578125" style="8" customWidth="1"/>
    <col min="4356" max="4356" width="19.85546875" style="8" customWidth="1"/>
    <col min="4357" max="4357" width="18.28515625" style="8" customWidth="1"/>
    <col min="4358" max="4358" width="17.7109375" style="8" customWidth="1"/>
    <col min="4359" max="4359" width="8.85546875" style="8" customWidth="1"/>
    <col min="4360" max="4360" width="17" style="8" customWidth="1"/>
    <col min="4361" max="4608" width="9.140625" style="8"/>
    <col min="4609" max="4609" width="13" style="8" customWidth="1"/>
    <col min="4610" max="4610" width="76.140625" style="8" customWidth="1"/>
    <col min="4611" max="4611" width="19.42578125" style="8" customWidth="1"/>
    <col min="4612" max="4612" width="19.85546875" style="8" customWidth="1"/>
    <col min="4613" max="4613" width="18.28515625" style="8" customWidth="1"/>
    <col min="4614" max="4614" width="17.7109375" style="8" customWidth="1"/>
    <col min="4615" max="4615" width="8.85546875" style="8" customWidth="1"/>
    <col min="4616" max="4616" width="17" style="8" customWidth="1"/>
    <col min="4617" max="4864" width="9.140625" style="8"/>
    <col min="4865" max="4865" width="13" style="8" customWidth="1"/>
    <col min="4866" max="4866" width="76.140625" style="8" customWidth="1"/>
    <col min="4867" max="4867" width="19.42578125" style="8" customWidth="1"/>
    <col min="4868" max="4868" width="19.85546875" style="8" customWidth="1"/>
    <col min="4869" max="4869" width="18.28515625" style="8" customWidth="1"/>
    <col min="4870" max="4870" width="17.7109375" style="8" customWidth="1"/>
    <col min="4871" max="4871" width="8.85546875" style="8" customWidth="1"/>
    <col min="4872" max="4872" width="17" style="8" customWidth="1"/>
    <col min="4873" max="5120" width="9.140625" style="8"/>
    <col min="5121" max="5121" width="13" style="8" customWidth="1"/>
    <col min="5122" max="5122" width="76.140625" style="8" customWidth="1"/>
    <col min="5123" max="5123" width="19.42578125" style="8" customWidth="1"/>
    <col min="5124" max="5124" width="19.85546875" style="8" customWidth="1"/>
    <col min="5125" max="5125" width="18.28515625" style="8" customWidth="1"/>
    <col min="5126" max="5126" width="17.7109375" style="8" customWidth="1"/>
    <col min="5127" max="5127" width="8.85546875" style="8" customWidth="1"/>
    <col min="5128" max="5128" width="17" style="8" customWidth="1"/>
    <col min="5129" max="5376" width="9.140625" style="8"/>
    <col min="5377" max="5377" width="13" style="8" customWidth="1"/>
    <col min="5378" max="5378" width="76.140625" style="8" customWidth="1"/>
    <col min="5379" max="5379" width="19.42578125" style="8" customWidth="1"/>
    <col min="5380" max="5380" width="19.85546875" style="8" customWidth="1"/>
    <col min="5381" max="5381" width="18.28515625" style="8" customWidth="1"/>
    <col min="5382" max="5382" width="17.7109375" style="8" customWidth="1"/>
    <col min="5383" max="5383" width="8.85546875" style="8" customWidth="1"/>
    <col min="5384" max="5384" width="17" style="8" customWidth="1"/>
    <col min="5385" max="5632" width="9.140625" style="8"/>
    <col min="5633" max="5633" width="13" style="8" customWidth="1"/>
    <col min="5634" max="5634" width="76.140625" style="8" customWidth="1"/>
    <col min="5635" max="5635" width="19.42578125" style="8" customWidth="1"/>
    <col min="5636" max="5636" width="19.85546875" style="8" customWidth="1"/>
    <col min="5637" max="5637" width="18.28515625" style="8" customWidth="1"/>
    <col min="5638" max="5638" width="17.7109375" style="8" customWidth="1"/>
    <col min="5639" max="5639" width="8.85546875" style="8" customWidth="1"/>
    <col min="5640" max="5640" width="17" style="8" customWidth="1"/>
    <col min="5641" max="5888" width="9.140625" style="8"/>
    <col min="5889" max="5889" width="13" style="8" customWidth="1"/>
    <col min="5890" max="5890" width="76.140625" style="8" customWidth="1"/>
    <col min="5891" max="5891" width="19.42578125" style="8" customWidth="1"/>
    <col min="5892" max="5892" width="19.85546875" style="8" customWidth="1"/>
    <col min="5893" max="5893" width="18.28515625" style="8" customWidth="1"/>
    <col min="5894" max="5894" width="17.7109375" style="8" customWidth="1"/>
    <col min="5895" max="5895" width="8.85546875" style="8" customWidth="1"/>
    <col min="5896" max="5896" width="17" style="8" customWidth="1"/>
    <col min="5897" max="6144" width="9.140625" style="8"/>
    <col min="6145" max="6145" width="13" style="8" customWidth="1"/>
    <col min="6146" max="6146" width="76.140625" style="8" customWidth="1"/>
    <col min="6147" max="6147" width="19.42578125" style="8" customWidth="1"/>
    <col min="6148" max="6148" width="19.85546875" style="8" customWidth="1"/>
    <col min="6149" max="6149" width="18.28515625" style="8" customWidth="1"/>
    <col min="6150" max="6150" width="17.7109375" style="8" customWidth="1"/>
    <col min="6151" max="6151" width="8.85546875" style="8" customWidth="1"/>
    <col min="6152" max="6152" width="17" style="8" customWidth="1"/>
    <col min="6153" max="6400" width="9.140625" style="8"/>
    <col min="6401" max="6401" width="13" style="8" customWidth="1"/>
    <col min="6402" max="6402" width="76.140625" style="8" customWidth="1"/>
    <col min="6403" max="6403" width="19.42578125" style="8" customWidth="1"/>
    <col min="6404" max="6404" width="19.85546875" style="8" customWidth="1"/>
    <col min="6405" max="6405" width="18.28515625" style="8" customWidth="1"/>
    <col min="6406" max="6406" width="17.7109375" style="8" customWidth="1"/>
    <col min="6407" max="6407" width="8.85546875" style="8" customWidth="1"/>
    <col min="6408" max="6408" width="17" style="8" customWidth="1"/>
    <col min="6409" max="6656" width="9.140625" style="8"/>
    <col min="6657" max="6657" width="13" style="8" customWidth="1"/>
    <col min="6658" max="6658" width="76.140625" style="8" customWidth="1"/>
    <col min="6659" max="6659" width="19.42578125" style="8" customWidth="1"/>
    <col min="6660" max="6660" width="19.85546875" style="8" customWidth="1"/>
    <col min="6661" max="6661" width="18.28515625" style="8" customWidth="1"/>
    <col min="6662" max="6662" width="17.7109375" style="8" customWidth="1"/>
    <col min="6663" max="6663" width="8.85546875" style="8" customWidth="1"/>
    <col min="6664" max="6664" width="17" style="8" customWidth="1"/>
    <col min="6665" max="6912" width="9.140625" style="8"/>
    <col min="6913" max="6913" width="13" style="8" customWidth="1"/>
    <col min="6914" max="6914" width="76.140625" style="8" customWidth="1"/>
    <col min="6915" max="6915" width="19.42578125" style="8" customWidth="1"/>
    <col min="6916" max="6916" width="19.85546875" style="8" customWidth="1"/>
    <col min="6917" max="6917" width="18.28515625" style="8" customWidth="1"/>
    <col min="6918" max="6918" width="17.7109375" style="8" customWidth="1"/>
    <col min="6919" max="6919" width="8.85546875" style="8" customWidth="1"/>
    <col min="6920" max="6920" width="17" style="8" customWidth="1"/>
    <col min="6921" max="7168" width="9.140625" style="8"/>
    <col min="7169" max="7169" width="13" style="8" customWidth="1"/>
    <col min="7170" max="7170" width="76.140625" style="8" customWidth="1"/>
    <col min="7171" max="7171" width="19.42578125" style="8" customWidth="1"/>
    <col min="7172" max="7172" width="19.85546875" style="8" customWidth="1"/>
    <col min="7173" max="7173" width="18.28515625" style="8" customWidth="1"/>
    <col min="7174" max="7174" width="17.7109375" style="8" customWidth="1"/>
    <col min="7175" max="7175" width="8.85546875" style="8" customWidth="1"/>
    <col min="7176" max="7176" width="17" style="8" customWidth="1"/>
    <col min="7177" max="7424" width="9.140625" style="8"/>
    <col min="7425" max="7425" width="13" style="8" customWidth="1"/>
    <col min="7426" max="7426" width="76.140625" style="8" customWidth="1"/>
    <col min="7427" max="7427" width="19.42578125" style="8" customWidth="1"/>
    <col min="7428" max="7428" width="19.85546875" style="8" customWidth="1"/>
    <col min="7429" max="7429" width="18.28515625" style="8" customWidth="1"/>
    <col min="7430" max="7430" width="17.7109375" style="8" customWidth="1"/>
    <col min="7431" max="7431" width="8.85546875" style="8" customWidth="1"/>
    <col min="7432" max="7432" width="17" style="8" customWidth="1"/>
    <col min="7433" max="7680" width="9.140625" style="8"/>
    <col min="7681" max="7681" width="13" style="8" customWidth="1"/>
    <col min="7682" max="7682" width="76.140625" style="8" customWidth="1"/>
    <col min="7683" max="7683" width="19.42578125" style="8" customWidth="1"/>
    <col min="7684" max="7684" width="19.85546875" style="8" customWidth="1"/>
    <col min="7685" max="7685" width="18.28515625" style="8" customWidth="1"/>
    <col min="7686" max="7686" width="17.7109375" style="8" customWidth="1"/>
    <col min="7687" max="7687" width="8.85546875" style="8" customWidth="1"/>
    <col min="7688" max="7688" width="17" style="8" customWidth="1"/>
    <col min="7689" max="7936" width="9.140625" style="8"/>
    <col min="7937" max="7937" width="13" style="8" customWidth="1"/>
    <col min="7938" max="7938" width="76.140625" style="8" customWidth="1"/>
    <col min="7939" max="7939" width="19.42578125" style="8" customWidth="1"/>
    <col min="7940" max="7940" width="19.85546875" style="8" customWidth="1"/>
    <col min="7941" max="7941" width="18.28515625" style="8" customWidth="1"/>
    <col min="7942" max="7942" width="17.7109375" style="8" customWidth="1"/>
    <col min="7943" max="7943" width="8.85546875" style="8" customWidth="1"/>
    <col min="7944" max="7944" width="17" style="8" customWidth="1"/>
    <col min="7945" max="8192" width="9.140625" style="8"/>
    <col min="8193" max="8193" width="13" style="8" customWidth="1"/>
    <col min="8194" max="8194" width="76.140625" style="8" customWidth="1"/>
    <col min="8195" max="8195" width="19.42578125" style="8" customWidth="1"/>
    <col min="8196" max="8196" width="19.85546875" style="8" customWidth="1"/>
    <col min="8197" max="8197" width="18.28515625" style="8" customWidth="1"/>
    <col min="8198" max="8198" width="17.7109375" style="8" customWidth="1"/>
    <col min="8199" max="8199" width="8.85546875" style="8" customWidth="1"/>
    <col min="8200" max="8200" width="17" style="8" customWidth="1"/>
    <col min="8201" max="8448" width="9.140625" style="8"/>
    <col min="8449" max="8449" width="13" style="8" customWidth="1"/>
    <col min="8450" max="8450" width="76.140625" style="8" customWidth="1"/>
    <col min="8451" max="8451" width="19.42578125" style="8" customWidth="1"/>
    <col min="8452" max="8452" width="19.85546875" style="8" customWidth="1"/>
    <col min="8453" max="8453" width="18.28515625" style="8" customWidth="1"/>
    <col min="8454" max="8454" width="17.7109375" style="8" customWidth="1"/>
    <col min="8455" max="8455" width="8.85546875" style="8" customWidth="1"/>
    <col min="8456" max="8456" width="17" style="8" customWidth="1"/>
    <col min="8457" max="8704" width="9.140625" style="8"/>
    <col min="8705" max="8705" width="13" style="8" customWidth="1"/>
    <col min="8706" max="8706" width="76.140625" style="8" customWidth="1"/>
    <col min="8707" max="8707" width="19.42578125" style="8" customWidth="1"/>
    <col min="8708" max="8708" width="19.85546875" style="8" customWidth="1"/>
    <col min="8709" max="8709" width="18.28515625" style="8" customWidth="1"/>
    <col min="8710" max="8710" width="17.7109375" style="8" customWidth="1"/>
    <col min="8711" max="8711" width="8.85546875" style="8" customWidth="1"/>
    <col min="8712" max="8712" width="17" style="8" customWidth="1"/>
    <col min="8713" max="8960" width="9.140625" style="8"/>
    <col min="8961" max="8961" width="13" style="8" customWidth="1"/>
    <col min="8962" max="8962" width="76.140625" style="8" customWidth="1"/>
    <col min="8963" max="8963" width="19.42578125" style="8" customWidth="1"/>
    <col min="8964" max="8964" width="19.85546875" style="8" customWidth="1"/>
    <col min="8965" max="8965" width="18.28515625" style="8" customWidth="1"/>
    <col min="8966" max="8966" width="17.7109375" style="8" customWidth="1"/>
    <col min="8967" max="8967" width="8.85546875" style="8" customWidth="1"/>
    <col min="8968" max="8968" width="17" style="8" customWidth="1"/>
    <col min="8969" max="9216" width="9.140625" style="8"/>
    <col min="9217" max="9217" width="13" style="8" customWidth="1"/>
    <col min="9218" max="9218" width="76.140625" style="8" customWidth="1"/>
    <col min="9219" max="9219" width="19.42578125" style="8" customWidth="1"/>
    <col min="9220" max="9220" width="19.85546875" style="8" customWidth="1"/>
    <col min="9221" max="9221" width="18.28515625" style="8" customWidth="1"/>
    <col min="9222" max="9222" width="17.7109375" style="8" customWidth="1"/>
    <col min="9223" max="9223" width="8.85546875" style="8" customWidth="1"/>
    <col min="9224" max="9224" width="17" style="8" customWidth="1"/>
    <col min="9225" max="9472" width="9.140625" style="8"/>
    <col min="9473" max="9473" width="13" style="8" customWidth="1"/>
    <col min="9474" max="9474" width="76.140625" style="8" customWidth="1"/>
    <col min="9475" max="9475" width="19.42578125" style="8" customWidth="1"/>
    <col min="9476" max="9476" width="19.85546875" style="8" customWidth="1"/>
    <col min="9477" max="9477" width="18.28515625" style="8" customWidth="1"/>
    <col min="9478" max="9478" width="17.7109375" style="8" customWidth="1"/>
    <col min="9479" max="9479" width="8.85546875" style="8" customWidth="1"/>
    <col min="9480" max="9480" width="17" style="8" customWidth="1"/>
    <col min="9481" max="9728" width="9.140625" style="8"/>
    <col min="9729" max="9729" width="13" style="8" customWidth="1"/>
    <col min="9730" max="9730" width="76.140625" style="8" customWidth="1"/>
    <col min="9731" max="9731" width="19.42578125" style="8" customWidth="1"/>
    <col min="9732" max="9732" width="19.85546875" style="8" customWidth="1"/>
    <col min="9733" max="9733" width="18.28515625" style="8" customWidth="1"/>
    <col min="9734" max="9734" width="17.7109375" style="8" customWidth="1"/>
    <col min="9735" max="9735" width="8.85546875" style="8" customWidth="1"/>
    <col min="9736" max="9736" width="17" style="8" customWidth="1"/>
    <col min="9737" max="9984" width="9.140625" style="8"/>
    <col min="9985" max="9985" width="13" style="8" customWidth="1"/>
    <col min="9986" max="9986" width="76.140625" style="8" customWidth="1"/>
    <col min="9987" max="9987" width="19.42578125" style="8" customWidth="1"/>
    <col min="9988" max="9988" width="19.85546875" style="8" customWidth="1"/>
    <col min="9989" max="9989" width="18.28515625" style="8" customWidth="1"/>
    <col min="9990" max="9990" width="17.7109375" style="8" customWidth="1"/>
    <col min="9991" max="9991" width="8.85546875" style="8" customWidth="1"/>
    <col min="9992" max="9992" width="17" style="8" customWidth="1"/>
    <col min="9993" max="10240" width="9.140625" style="8"/>
    <col min="10241" max="10241" width="13" style="8" customWidth="1"/>
    <col min="10242" max="10242" width="76.140625" style="8" customWidth="1"/>
    <col min="10243" max="10243" width="19.42578125" style="8" customWidth="1"/>
    <col min="10244" max="10244" width="19.85546875" style="8" customWidth="1"/>
    <col min="10245" max="10245" width="18.28515625" style="8" customWidth="1"/>
    <col min="10246" max="10246" width="17.7109375" style="8" customWidth="1"/>
    <col min="10247" max="10247" width="8.85546875" style="8" customWidth="1"/>
    <col min="10248" max="10248" width="17" style="8" customWidth="1"/>
    <col min="10249" max="10496" width="9.140625" style="8"/>
    <col min="10497" max="10497" width="13" style="8" customWidth="1"/>
    <col min="10498" max="10498" width="76.140625" style="8" customWidth="1"/>
    <col min="10499" max="10499" width="19.42578125" style="8" customWidth="1"/>
    <col min="10500" max="10500" width="19.85546875" style="8" customWidth="1"/>
    <col min="10501" max="10501" width="18.28515625" style="8" customWidth="1"/>
    <col min="10502" max="10502" width="17.7109375" style="8" customWidth="1"/>
    <col min="10503" max="10503" width="8.85546875" style="8" customWidth="1"/>
    <col min="10504" max="10504" width="17" style="8" customWidth="1"/>
    <col min="10505" max="10752" width="9.140625" style="8"/>
    <col min="10753" max="10753" width="13" style="8" customWidth="1"/>
    <col min="10754" max="10754" width="76.140625" style="8" customWidth="1"/>
    <col min="10755" max="10755" width="19.42578125" style="8" customWidth="1"/>
    <col min="10756" max="10756" width="19.85546875" style="8" customWidth="1"/>
    <col min="10757" max="10757" width="18.28515625" style="8" customWidth="1"/>
    <col min="10758" max="10758" width="17.7109375" style="8" customWidth="1"/>
    <col min="10759" max="10759" width="8.85546875" style="8" customWidth="1"/>
    <col min="10760" max="10760" width="17" style="8" customWidth="1"/>
    <col min="10761" max="11008" width="9.140625" style="8"/>
    <col min="11009" max="11009" width="13" style="8" customWidth="1"/>
    <col min="11010" max="11010" width="76.140625" style="8" customWidth="1"/>
    <col min="11011" max="11011" width="19.42578125" style="8" customWidth="1"/>
    <col min="11012" max="11012" width="19.85546875" style="8" customWidth="1"/>
    <col min="11013" max="11013" width="18.28515625" style="8" customWidth="1"/>
    <col min="11014" max="11014" width="17.7109375" style="8" customWidth="1"/>
    <col min="11015" max="11015" width="8.85546875" style="8" customWidth="1"/>
    <col min="11016" max="11016" width="17" style="8" customWidth="1"/>
    <col min="11017" max="11264" width="9.140625" style="8"/>
    <col min="11265" max="11265" width="13" style="8" customWidth="1"/>
    <col min="11266" max="11266" width="76.140625" style="8" customWidth="1"/>
    <col min="11267" max="11267" width="19.42578125" style="8" customWidth="1"/>
    <col min="11268" max="11268" width="19.85546875" style="8" customWidth="1"/>
    <col min="11269" max="11269" width="18.28515625" style="8" customWidth="1"/>
    <col min="11270" max="11270" width="17.7109375" style="8" customWidth="1"/>
    <col min="11271" max="11271" width="8.85546875" style="8" customWidth="1"/>
    <col min="11272" max="11272" width="17" style="8" customWidth="1"/>
    <col min="11273" max="11520" width="9.140625" style="8"/>
    <col min="11521" max="11521" width="13" style="8" customWidth="1"/>
    <col min="11522" max="11522" width="76.140625" style="8" customWidth="1"/>
    <col min="11523" max="11523" width="19.42578125" style="8" customWidth="1"/>
    <col min="11524" max="11524" width="19.85546875" style="8" customWidth="1"/>
    <col min="11525" max="11525" width="18.28515625" style="8" customWidth="1"/>
    <col min="11526" max="11526" width="17.7109375" style="8" customWidth="1"/>
    <col min="11527" max="11527" width="8.85546875" style="8" customWidth="1"/>
    <col min="11528" max="11528" width="17" style="8" customWidth="1"/>
    <col min="11529" max="11776" width="9.140625" style="8"/>
    <col min="11777" max="11777" width="13" style="8" customWidth="1"/>
    <col min="11778" max="11778" width="76.140625" style="8" customWidth="1"/>
    <col min="11779" max="11779" width="19.42578125" style="8" customWidth="1"/>
    <col min="11780" max="11780" width="19.85546875" style="8" customWidth="1"/>
    <col min="11781" max="11781" width="18.28515625" style="8" customWidth="1"/>
    <col min="11782" max="11782" width="17.7109375" style="8" customWidth="1"/>
    <col min="11783" max="11783" width="8.85546875" style="8" customWidth="1"/>
    <col min="11784" max="11784" width="17" style="8" customWidth="1"/>
    <col min="11785" max="12032" width="9.140625" style="8"/>
    <col min="12033" max="12033" width="13" style="8" customWidth="1"/>
    <col min="12034" max="12034" width="76.140625" style="8" customWidth="1"/>
    <col min="12035" max="12035" width="19.42578125" style="8" customWidth="1"/>
    <col min="12036" max="12036" width="19.85546875" style="8" customWidth="1"/>
    <col min="12037" max="12037" width="18.28515625" style="8" customWidth="1"/>
    <col min="12038" max="12038" width="17.7109375" style="8" customWidth="1"/>
    <col min="12039" max="12039" width="8.85546875" style="8" customWidth="1"/>
    <col min="12040" max="12040" width="17" style="8" customWidth="1"/>
    <col min="12041" max="12288" width="9.140625" style="8"/>
    <col min="12289" max="12289" width="13" style="8" customWidth="1"/>
    <col min="12290" max="12290" width="76.140625" style="8" customWidth="1"/>
    <col min="12291" max="12291" width="19.42578125" style="8" customWidth="1"/>
    <col min="12292" max="12292" width="19.85546875" style="8" customWidth="1"/>
    <col min="12293" max="12293" width="18.28515625" style="8" customWidth="1"/>
    <col min="12294" max="12294" width="17.7109375" style="8" customWidth="1"/>
    <col min="12295" max="12295" width="8.85546875" style="8" customWidth="1"/>
    <col min="12296" max="12296" width="17" style="8" customWidth="1"/>
    <col min="12297" max="12544" width="9.140625" style="8"/>
    <col min="12545" max="12545" width="13" style="8" customWidth="1"/>
    <col min="12546" max="12546" width="76.140625" style="8" customWidth="1"/>
    <col min="12547" max="12547" width="19.42578125" style="8" customWidth="1"/>
    <col min="12548" max="12548" width="19.85546875" style="8" customWidth="1"/>
    <col min="12549" max="12549" width="18.28515625" style="8" customWidth="1"/>
    <col min="12550" max="12550" width="17.7109375" style="8" customWidth="1"/>
    <col min="12551" max="12551" width="8.85546875" style="8" customWidth="1"/>
    <col min="12552" max="12552" width="17" style="8" customWidth="1"/>
    <col min="12553" max="12800" width="9.140625" style="8"/>
    <col min="12801" max="12801" width="13" style="8" customWidth="1"/>
    <col min="12802" max="12802" width="76.140625" style="8" customWidth="1"/>
    <col min="12803" max="12803" width="19.42578125" style="8" customWidth="1"/>
    <col min="12804" max="12804" width="19.85546875" style="8" customWidth="1"/>
    <col min="12805" max="12805" width="18.28515625" style="8" customWidth="1"/>
    <col min="12806" max="12806" width="17.7109375" style="8" customWidth="1"/>
    <col min="12807" max="12807" width="8.85546875" style="8" customWidth="1"/>
    <col min="12808" max="12808" width="17" style="8" customWidth="1"/>
    <col min="12809" max="13056" width="9.140625" style="8"/>
    <col min="13057" max="13057" width="13" style="8" customWidth="1"/>
    <col min="13058" max="13058" width="76.140625" style="8" customWidth="1"/>
    <col min="13059" max="13059" width="19.42578125" style="8" customWidth="1"/>
    <col min="13060" max="13060" width="19.85546875" style="8" customWidth="1"/>
    <col min="13061" max="13061" width="18.28515625" style="8" customWidth="1"/>
    <col min="13062" max="13062" width="17.7109375" style="8" customWidth="1"/>
    <col min="13063" max="13063" width="8.85546875" style="8" customWidth="1"/>
    <col min="13064" max="13064" width="17" style="8" customWidth="1"/>
    <col min="13065" max="13312" width="9.140625" style="8"/>
    <col min="13313" max="13313" width="13" style="8" customWidth="1"/>
    <col min="13314" max="13314" width="76.140625" style="8" customWidth="1"/>
    <col min="13315" max="13315" width="19.42578125" style="8" customWidth="1"/>
    <col min="13316" max="13316" width="19.85546875" style="8" customWidth="1"/>
    <col min="13317" max="13317" width="18.28515625" style="8" customWidth="1"/>
    <col min="13318" max="13318" width="17.7109375" style="8" customWidth="1"/>
    <col min="13319" max="13319" width="8.85546875" style="8" customWidth="1"/>
    <col min="13320" max="13320" width="17" style="8" customWidth="1"/>
    <col min="13321" max="13568" width="9.140625" style="8"/>
    <col min="13569" max="13569" width="13" style="8" customWidth="1"/>
    <col min="13570" max="13570" width="76.140625" style="8" customWidth="1"/>
    <col min="13571" max="13571" width="19.42578125" style="8" customWidth="1"/>
    <col min="13572" max="13572" width="19.85546875" style="8" customWidth="1"/>
    <col min="13573" max="13573" width="18.28515625" style="8" customWidth="1"/>
    <col min="13574" max="13574" width="17.7109375" style="8" customWidth="1"/>
    <col min="13575" max="13575" width="8.85546875" style="8" customWidth="1"/>
    <col min="13576" max="13576" width="17" style="8" customWidth="1"/>
    <col min="13577" max="13824" width="9.140625" style="8"/>
    <col min="13825" max="13825" width="13" style="8" customWidth="1"/>
    <col min="13826" max="13826" width="76.140625" style="8" customWidth="1"/>
    <col min="13827" max="13827" width="19.42578125" style="8" customWidth="1"/>
    <col min="13828" max="13828" width="19.85546875" style="8" customWidth="1"/>
    <col min="13829" max="13829" width="18.28515625" style="8" customWidth="1"/>
    <col min="13830" max="13830" width="17.7109375" style="8" customWidth="1"/>
    <col min="13831" max="13831" width="8.85546875" style="8" customWidth="1"/>
    <col min="13832" max="13832" width="17" style="8" customWidth="1"/>
    <col min="13833" max="14080" width="9.140625" style="8"/>
    <col min="14081" max="14081" width="13" style="8" customWidth="1"/>
    <col min="14082" max="14082" width="76.140625" style="8" customWidth="1"/>
    <col min="14083" max="14083" width="19.42578125" style="8" customWidth="1"/>
    <col min="14084" max="14084" width="19.85546875" style="8" customWidth="1"/>
    <col min="14085" max="14085" width="18.28515625" style="8" customWidth="1"/>
    <col min="14086" max="14086" width="17.7109375" style="8" customWidth="1"/>
    <col min="14087" max="14087" width="8.85546875" style="8" customWidth="1"/>
    <col min="14088" max="14088" width="17" style="8" customWidth="1"/>
    <col min="14089" max="14336" width="9.140625" style="8"/>
    <col min="14337" max="14337" width="13" style="8" customWidth="1"/>
    <col min="14338" max="14338" width="76.140625" style="8" customWidth="1"/>
    <col min="14339" max="14339" width="19.42578125" style="8" customWidth="1"/>
    <col min="14340" max="14340" width="19.85546875" style="8" customWidth="1"/>
    <col min="14341" max="14341" width="18.28515625" style="8" customWidth="1"/>
    <col min="14342" max="14342" width="17.7109375" style="8" customWidth="1"/>
    <col min="14343" max="14343" width="8.85546875" style="8" customWidth="1"/>
    <col min="14344" max="14344" width="17" style="8" customWidth="1"/>
    <col min="14345" max="14592" width="9.140625" style="8"/>
    <col min="14593" max="14593" width="13" style="8" customWidth="1"/>
    <col min="14594" max="14594" width="76.140625" style="8" customWidth="1"/>
    <col min="14595" max="14595" width="19.42578125" style="8" customWidth="1"/>
    <col min="14596" max="14596" width="19.85546875" style="8" customWidth="1"/>
    <col min="14597" max="14597" width="18.28515625" style="8" customWidth="1"/>
    <col min="14598" max="14598" width="17.7109375" style="8" customWidth="1"/>
    <col min="14599" max="14599" width="8.85546875" style="8" customWidth="1"/>
    <col min="14600" max="14600" width="17" style="8" customWidth="1"/>
    <col min="14601" max="14848" width="9.140625" style="8"/>
    <col min="14849" max="14849" width="13" style="8" customWidth="1"/>
    <col min="14850" max="14850" width="76.140625" style="8" customWidth="1"/>
    <col min="14851" max="14851" width="19.42578125" style="8" customWidth="1"/>
    <col min="14852" max="14852" width="19.85546875" style="8" customWidth="1"/>
    <col min="14853" max="14853" width="18.28515625" style="8" customWidth="1"/>
    <col min="14854" max="14854" width="17.7109375" style="8" customWidth="1"/>
    <col min="14855" max="14855" width="8.85546875" style="8" customWidth="1"/>
    <col min="14856" max="14856" width="17" style="8" customWidth="1"/>
    <col min="14857" max="15104" width="9.140625" style="8"/>
    <col min="15105" max="15105" width="13" style="8" customWidth="1"/>
    <col min="15106" max="15106" width="76.140625" style="8" customWidth="1"/>
    <col min="15107" max="15107" width="19.42578125" style="8" customWidth="1"/>
    <col min="15108" max="15108" width="19.85546875" style="8" customWidth="1"/>
    <col min="15109" max="15109" width="18.28515625" style="8" customWidth="1"/>
    <col min="15110" max="15110" width="17.7109375" style="8" customWidth="1"/>
    <col min="15111" max="15111" width="8.85546875" style="8" customWidth="1"/>
    <col min="15112" max="15112" width="17" style="8" customWidth="1"/>
    <col min="15113" max="15360" width="9.140625" style="8"/>
    <col min="15361" max="15361" width="13" style="8" customWidth="1"/>
    <col min="15362" max="15362" width="76.140625" style="8" customWidth="1"/>
    <col min="15363" max="15363" width="19.42578125" style="8" customWidth="1"/>
    <col min="15364" max="15364" width="19.85546875" style="8" customWidth="1"/>
    <col min="15365" max="15365" width="18.28515625" style="8" customWidth="1"/>
    <col min="15366" max="15366" width="17.7109375" style="8" customWidth="1"/>
    <col min="15367" max="15367" width="8.85546875" style="8" customWidth="1"/>
    <col min="15368" max="15368" width="17" style="8" customWidth="1"/>
    <col min="15369" max="15616" width="9.140625" style="8"/>
    <col min="15617" max="15617" width="13" style="8" customWidth="1"/>
    <col min="15618" max="15618" width="76.140625" style="8" customWidth="1"/>
    <col min="15619" max="15619" width="19.42578125" style="8" customWidth="1"/>
    <col min="15620" max="15620" width="19.85546875" style="8" customWidth="1"/>
    <col min="15621" max="15621" width="18.28515625" style="8" customWidth="1"/>
    <col min="15622" max="15622" width="17.7109375" style="8" customWidth="1"/>
    <col min="15623" max="15623" width="8.85546875" style="8" customWidth="1"/>
    <col min="15624" max="15624" width="17" style="8" customWidth="1"/>
    <col min="15625" max="15872" width="9.140625" style="8"/>
    <col min="15873" max="15873" width="13" style="8" customWidth="1"/>
    <col min="15874" max="15874" width="76.140625" style="8" customWidth="1"/>
    <col min="15875" max="15875" width="19.42578125" style="8" customWidth="1"/>
    <col min="15876" max="15876" width="19.85546875" style="8" customWidth="1"/>
    <col min="15877" max="15877" width="18.28515625" style="8" customWidth="1"/>
    <col min="15878" max="15878" width="17.7109375" style="8" customWidth="1"/>
    <col min="15879" max="15879" width="8.85546875" style="8" customWidth="1"/>
    <col min="15880" max="15880" width="17" style="8" customWidth="1"/>
    <col min="15881" max="16128" width="9.140625" style="8"/>
    <col min="16129" max="16129" width="13" style="8" customWidth="1"/>
    <col min="16130" max="16130" width="76.140625" style="8" customWidth="1"/>
    <col min="16131" max="16131" width="19.42578125" style="8" customWidth="1"/>
    <col min="16132" max="16132" width="19.85546875" style="8" customWidth="1"/>
    <col min="16133" max="16133" width="18.28515625" style="8" customWidth="1"/>
    <col min="16134" max="16134" width="17.7109375" style="8" customWidth="1"/>
    <col min="16135" max="16135" width="8.85546875" style="8" customWidth="1"/>
    <col min="16136" max="16136" width="17" style="8" customWidth="1"/>
    <col min="16137" max="16384" width="9.140625" style="8"/>
  </cols>
  <sheetData>
    <row r="1" spans="1:8" ht="100.5" customHeight="1" x14ac:dyDescent="0.3">
      <c r="A1" s="76"/>
      <c r="B1" s="77"/>
      <c r="C1" s="587" t="s">
        <v>721</v>
      </c>
      <c r="D1" s="587"/>
      <c r="E1" s="587"/>
      <c r="F1" s="587"/>
    </row>
    <row r="2" spans="1:8" ht="18.75" customHeight="1" x14ac:dyDescent="0.3">
      <c r="A2" s="76"/>
      <c r="B2" s="77"/>
      <c r="C2" s="8" t="s">
        <v>110</v>
      </c>
      <c r="D2" s="78"/>
      <c r="E2" s="78"/>
      <c r="F2" s="78"/>
    </row>
    <row r="3" spans="1:8" ht="27.75" customHeight="1" x14ac:dyDescent="0.3">
      <c r="A3" s="588" t="s">
        <v>111</v>
      </c>
      <c r="B3" s="589"/>
      <c r="C3" s="589"/>
      <c r="D3" s="589"/>
      <c r="E3" s="589"/>
      <c r="F3" s="589"/>
    </row>
    <row r="4" spans="1:8" s="79" customFormat="1" ht="24.95" customHeight="1" x14ac:dyDescent="0.3">
      <c r="A4" s="590" t="s">
        <v>112</v>
      </c>
      <c r="B4" s="590"/>
      <c r="C4" s="590"/>
      <c r="D4" s="590"/>
      <c r="E4" s="590"/>
      <c r="F4" s="590"/>
    </row>
    <row r="5" spans="1:8" s="80" customFormat="1" ht="24.95" customHeight="1" x14ac:dyDescent="0.3">
      <c r="A5" s="591" t="s">
        <v>3</v>
      </c>
      <c r="B5" s="591"/>
      <c r="C5" s="591"/>
      <c r="D5" s="591"/>
      <c r="E5" s="591"/>
      <c r="F5" s="591"/>
    </row>
    <row r="6" spans="1:8" ht="24.95" customHeight="1" x14ac:dyDescent="0.25">
      <c r="A6" s="592" t="s">
        <v>4</v>
      </c>
      <c r="B6" s="592"/>
      <c r="C6" s="592"/>
      <c r="D6" s="592"/>
      <c r="E6" s="592"/>
      <c r="F6" s="592"/>
    </row>
    <row r="7" spans="1:8" ht="24.95" customHeight="1" x14ac:dyDescent="0.25">
      <c r="A7" s="8"/>
      <c r="F7" s="71" t="s">
        <v>5</v>
      </c>
    </row>
    <row r="8" spans="1:8" s="60" customFormat="1" ht="24.95" customHeight="1" x14ac:dyDescent="0.25">
      <c r="A8" s="593" t="s">
        <v>6</v>
      </c>
      <c r="B8" s="594" t="s">
        <v>7</v>
      </c>
      <c r="C8" s="593" t="s">
        <v>8</v>
      </c>
      <c r="D8" s="595" t="s">
        <v>9</v>
      </c>
      <c r="E8" s="593" t="s">
        <v>10</v>
      </c>
      <c r="F8" s="593"/>
    </row>
    <row r="9" spans="1:8" s="60" customFormat="1" ht="50.25" customHeight="1" x14ac:dyDescent="0.25">
      <c r="A9" s="593"/>
      <c r="B9" s="594"/>
      <c r="C9" s="593"/>
      <c r="D9" s="596"/>
      <c r="E9" s="81" t="s">
        <v>11</v>
      </c>
      <c r="F9" s="82" t="s">
        <v>12</v>
      </c>
    </row>
    <row r="10" spans="1:8" s="60" customFormat="1" ht="18.75" customHeight="1" x14ac:dyDescent="0.25">
      <c r="A10" s="81">
        <v>1</v>
      </c>
      <c r="B10" s="82">
        <v>2</v>
      </c>
      <c r="C10" s="81">
        <v>3</v>
      </c>
      <c r="D10" s="83">
        <v>4</v>
      </c>
      <c r="E10" s="81">
        <v>5</v>
      </c>
      <c r="F10" s="82">
        <v>6</v>
      </c>
    </row>
    <row r="11" spans="1:8" s="60" customFormat="1" ht="24.95" customHeight="1" x14ac:dyDescent="0.25">
      <c r="A11" s="84">
        <v>10000000</v>
      </c>
      <c r="B11" s="85" t="s">
        <v>13</v>
      </c>
      <c r="C11" s="86">
        <f t="shared" ref="C11:C82" si="0">D11+E11</f>
        <v>102716800</v>
      </c>
      <c r="D11" s="87">
        <f>D12+D26+D34+D53+D21</f>
        <v>102716800</v>
      </c>
      <c r="E11" s="87">
        <f>E12+E26+E34+E53</f>
        <v>0</v>
      </c>
      <c r="F11" s="87"/>
    </row>
    <row r="12" spans="1:8" s="60" customFormat="1" ht="34.5" customHeight="1" x14ac:dyDescent="0.25">
      <c r="A12" s="84">
        <v>11000000</v>
      </c>
      <c r="B12" s="88" t="s">
        <v>14</v>
      </c>
      <c r="C12" s="86">
        <f t="shared" si="0"/>
        <v>77979848</v>
      </c>
      <c r="D12" s="87">
        <f>D13+D19</f>
        <v>77979848</v>
      </c>
      <c r="E12" s="87">
        <f>E13+E19</f>
        <v>0</v>
      </c>
      <c r="F12" s="87"/>
    </row>
    <row r="13" spans="1:8" s="60" customFormat="1" ht="26.25" customHeight="1" x14ac:dyDescent="0.25">
      <c r="A13" s="84">
        <v>11010000</v>
      </c>
      <c r="B13" s="88" t="s">
        <v>15</v>
      </c>
      <c r="C13" s="86">
        <f t="shared" si="0"/>
        <v>77979848</v>
      </c>
      <c r="D13" s="87">
        <f>SUM(D14:D18)</f>
        <v>77979848</v>
      </c>
      <c r="E13" s="87"/>
      <c r="F13" s="87"/>
    </row>
    <row r="14" spans="1:8" ht="44.25" hidden="1" customHeight="1" x14ac:dyDescent="0.25">
      <c r="A14" s="89">
        <v>11010100</v>
      </c>
      <c r="B14" s="90" t="s">
        <v>16</v>
      </c>
      <c r="C14" s="65">
        <f t="shared" si="0"/>
        <v>0</v>
      </c>
      <c r="D14" s="65"/>
      <c r="E14" s="65"/>
      <c r="F14" s="65"/>
    </row>
    <row r="15" spans="1:8" ht="57" customHeight="1" x14ac:dyDescent="0.25">
      <c r="A15" s="89">
        <v>11010200</v>
      </c>
      <c r="B15" s="90" t="s">
        <v>17</v>
      </c>
      <c r="C15" s="65">
        <f t="shared" si="0"/>
        <v>77979848</v>
      </c>
      <c r="D15" s="445">
        <v>77979848</v>
      </c>
      <c r="E15" s="65"/>
      <c r="F15" s="65"/>
      <c r="H15" s="91"/>
    </row>
    <row r="16" spans="1:8" ht="36.75" hidden="1" customHeight="1" x14ac:dyDescent="0.25">
      <c r="A16" s="89">
        <v>11010400</v>
      </c>
      <c r="B16" s="90" t="s">
        <v>18</v>
      </c>
      <c r="C16" s="65">
        <f t="shared" si="0"/>
        <v>0</v>
      </c>
      <c r="D16" s="65"/>
      <c r="E16" s="65"/>
      <c r="F16" s="65"/>
    </row>
    <row r="17" spans="1:6" ht="33.75" hidden="1" customHeight="1" x14ac:dyDescent="0.25">
      <c r="A17" s="89">
        <v>11010500</v>
      </c>
      <c r="B17" s="90" t="s">
        <v>19</v>
      </c>
      <c r="C17" s="65">
        <f t="shared" si="0"/>
        <v>0</v>
      </c>
      <c r="D17" s="65"/>
      <c r="E17" s="65"/>
      <c r="F17" s="65"/>
    </row>
    <row r="18" spans="1:6" ht="51" hidden="1" customHeight="1" x14ac:dyDescent="0.25">
      <c r="A18" s="92">
        <v>11010900</v>
      </c>
      <c r="B18" s="90" t="s">
        <v>113</v>
      </c>
      <c r="C18" s="65">
        <f t="shared" si="0"/>
        <v>0</v>
      </c>
      <c r="D18" s="65"/>
      <c r="E18" s="65"/>
      <c r="F18" s="65"/>
    </row>
    <row r="19" spans="1:6" s="60" customFormat="1" ht="19.5" hidden="1" customHeight="1" x14ac:dyDescent="0.25">
      <c r="A19" s="84">
        <v>11020000</v>
      </c>
      <c r="B19" s="88" t="s">
        <v>20</v>
      </c>
      <c r="C19" s="86">
        <f t="shared" si="0"/>
        <v>0</v>
      </c>
      <c r="D19" s="87">
        <f>D20</f>
        <v>0</v>
      </c>
      <c r="E19" s="86"/>
      <c r="F19" s="86"/>
    </row>
    <row r="20" spans="1:6" ht="33.75" hidden="1" customHeight="1" x14ac:dyDescent="0.25">
      <c r="A20" s="89">
        <v>11020200</v>
      </c>
      <c r="B20" s="93" t="s">
        <v>21</v>
      </c>
      <c r="C20" s="65">
        <f t="shared" si="0"/>
        <v>0</v>
      </c>
      <c r="D20" s="94"/>
      <c r="E20" s="65"/>
      <c r="F20" s="65"/>
    </row>
    <row r="21" spans="1:6" s="60" customFormat="1" ht="33.75" customHeight="1" x14ac:dyDescent="0.25">
      <c r="A21" s="95">
        <v>13000000</v>
      </c>
      <c r="B21" s="96" t="s">
        <v>22</v>
      </c>
      <c r="C21" s="86">
        <f t="shared" si="0"/>
        <v>-193000</v>
      </c>
      <c r="D21" s="87">
        <f>D22+D24</f>
        <v>-193000</v>
      </c>
      <c r="E21" s="86"/>
      <c r="F21" s="86"/>
    </row>
    <row r="22" spans="1:6" s="60" customFormat="1" ht="33.75" customHeight="1" x14ac:dyDescent="0.25">
      <c r="A22" s="97">
        <v>13010000</v>
      </c>
      <c r="B22" s="98" t="s">
        <v>23</v>
      </c>
      <c r="C22" s="86">
        <f t="shared" si="0"/>
        <v>-193000</v>
      </c>
      <c r="D22" s="87">
        <f>D23</f>
        <v>-193000</v>
      </c>
      <c r="E22" s="86"/>
      <c r="F22" s="86"/>
    </row>
    <row r="23" spans="1:6" ht="48.75" customHeight="1" x14ac:dyDescent="0.25">
      <c r="A23" s="99">
        <v>13010200</v>
      </c>
      <c r="B23" s="100" t="s">
        <v>24</v>
      </c>
      <c r="C23" s="65">
        <f t="shared" si="0"/>
        <v>-193000</v>
      </c>
      <c r="D23" s="94">
        <v>-193000</v>
      </c>
      <c r="E23" s="65"/>
      <c r="F23" s="65"/>
    </row>
    <row r="24" spans="1:6" s="60" customFormat="1" ht="33.75" hidden="1" customHeight="1" x14ac:dyDescent="0.25">
      <c r="A24" s="97">
        <v>13030000</v>
      </c>
      <c r="B24" s="98" t="s">
        <v>114</v>
      </c>
      <c r="C24" s="86">
        <f t="shared" si="0"/>
        <v>0</v>
      </c>
      <c r="D24" s="87">
        <f>D25</f>
        <v>0</v>
      </c>
      <c r="E24" s="86"/>
      <c r="F24" s="86"/>
    </row>
    <row r="25" spans="1:6" ht="33.75" hidden="1" customHeight="1" x14ac:dyDescent="0.25">
      <c r="A25" s="99">
        <v>13030100</v>
      </c>
      <c r="B25" s="100" t="s">
        <v>115</v>
      </c>
      <c r="C25" s="65">
        <f t="shared" si="0"/>
        <v>0</v>
      </c>
      <c r="D25" s="94"/>
      <c r="E25" s="65"/>
      <c r="F25" s="65"/>
    </row>
    <row r="26" spans="1:6" s="60" customFormat="1" ht="21.75" customHeight="1" x14ac:dyDescent="0.25">
      <c r="A26" s="84">
        <v>14000000</v>
      </c>
      <c r="B26" s="101" t="s">
        <v>27</v>
      </c>
      <c r="C26" s="86">
        <f t="shared" si="0"/>
        <v>25000000</v>
      </c>
      <c r="D26" s="87">
        <f>D31+D27+D29</f>
        <v>25000000</v>
      </c>
      <c r="E26" s="86"/>
      <c r="F26" s="86"/>
    </row>
    <row r="27" spans="1:6" s="60" customFormat="1" ht="33.75" hidden="1" customHeight="1" x14ac:dyDescent="0.25">
      <c r="A27" s="102">
        <v>14020000</v>
      </c>
      <c r="B27" s="88" t="s">
        <v>28</v>
      </c>
      <c r="C27" s="86">
        <f t="shared" si="0"/>
        <v>0</v>
      </c>
      <c r="D27" s="87">
        <f>D28</f>
        <v>0</v>
      </c>
      <c r="E27" s="86"/>
      <c r="F27" s="86"/>
    </row>
    <row r="28" spans="1:6" ht="33.75" hidden="1" customHeight="1" x14ac:dyDescent="0.25">
      <c r="A28" s="92">
        <v>14021900</v>
      </c>
      <c r="B28" s="90" t="s">
        <v>29</v>
      </c>
      <c r="C28" s="65">
        <f t="shared" si="0"/>
        <v>0</v>
      </c>
      <c r="D28" s="94"/>
      <c r="E28" s="65"/>
      <c r="F28" s="65"/>
    </row>
    <row r="29" spans="1:6" s="60" customFormat="1" ht="33.75" hidden="1" customHeight="1" x14ac:dyDescent="0.25">
      <c r="A29" s="102">
        <v>14030000</v>
      </c>
      <c r="B29" s="88" t="s">
        <v>30</v>
      </c>
      <c r="C29" s="86">
        <f t="shared" si="0"/>
        <v>0</v>
      </c>
      <c r="D29" s="87">
        <f>D30</f>
        <v>0</v>
      </c>
      <c r="E29" s="86"/>
      <c r="F29" s="86"/>
    </row>
    <row r="30" spans="1:6" ht="33.75" hidden="1" customHeight="1" x14ac:dyDescent="0.25">
      <c r="A30" s="92">
        <v>14031900</v>
      </c>
      <c r="B30" s="90" t="s">
        <v>29</v>
      </c>
      <c r="C30" s="65">
        <f t="shared" si="0"/>
        <v>0</v>
      </c>
      <c r="D30" s="94"/>
      <c r="E30" s="65"/>
      <c r="F30" s="65"/>
    </row>
    <row r="31" spans="1:6" s="60" customFormat="1" ht="33.75" customHeight="1" x14ac:dyDescent="0.25">
      <c r="A31" s="84">
        <v>14040000</v>
      </c>
      <c r="B31" s="88" t="s">
        <v>31</v>
      </c>
      <c r="C31" s="86">
        <f t="shared" si="0"/>
        <v>25000000</v>
      </c>
      <c r="D31" s="87">
        <f>D32+D33</f>
        <v>25000000</v>
      </c>
      <c r="E31" s="86"/>
      <c r="F31" s="86"/>
    </row>
    <row r="32" spans="1:6" ht="83.25" customHeight="1" x14ac:dyDescent="0.25">
      <c r="A32" s="89">
        <v>14040100</v>
      </c>
      <c r="B32" s="103" t="s">
        <v>729</v>
      </c>
      <c r="C32" s="65">
        <f t="shared" si="0"/>
        <v>25000000</v>
      </c>
      <c r="D32" s="94">
        <v>25000000</v>
      </c>
      <c r="E32" s="65"/>
      <c r="F32" s="65"/>
    </row>
    <row r="33" spans="1:6" ht="71.25" hidden="1" customHeight="1" x14ac:dyDescent="0.25">
      <c r="A33" s="89">
        <v>14040200</v>
      </c>
      <c r="B33" s="103" t="s">
        <v>32</v>
      </c>
      <c r="C33" s="65">
        <f t="shared" si="0"/>
        <v>0</v>
      </c>
      <c r="D33" s="94"/>
      <c r="E33" s="65"/>
      <c r="F33" s="65"/>
    </row>
    <row r="34" spans="1:6" s="60" customFormat="1" ht="45" customHeight="1" x14ac:dyDescent="0.25">
      <c r="A34" s="84">
        <v>18000000</v>
      </c>
      <c r="B34" s="88" t="s">
        <v>33</v>
      </c>
      <c r="C34" s="86">
        <f t="shared" si="0"/>
        <v>-70048</v>
      </c>
      <c r="D34" s="87">
        <f>D35+D46+D49</f>
        <v>-70048</v>
      </c>
      <c r="E34" s="87"/>
      <c r="F34" s="87"/>
    </row>
    <row r="35" spans="1:6" s="60" customFormat="1" ht="24.95" customHeight="1" x14ac:dyDescent="0.25">
      <c r="A35" s="84">
        <v>18010000</v>
      </c>
      <c r="B35" s="88" t="s">
        <v>34</v>
      </c>
      <c r="C35" s="86">
        <f t="shared" si="0"/>
        <v>-242958</v>
      </c>
      <c r="D35" s="87">
        <f>SUM(D36:D45)</f>
        <v>-242958</v>
      </c>
      <c r="E35" s="86"/>
      <c r="F35" s="86"/>
    </row>
    <row r="36" spans="1:6" ht="38.25" hidden="1" customHeight="1" x14ac:dyDescent="0.25">
      <c r="A36" s="89">
        <v>18010100</v>
      </c>
      <c r="B36" s="90" t="s">
        <v>35</v>
      </c>
      <c r="C36" s="65">
        <f t="shared" si="0"/>
        <v>0</v>
      </c>
      <c r="D36" s="94"/>
      <c r="E36" s="65"/>
      <c r="F36" s="65"/>
    </row>
    <row r="37" spans="1:6" ht="42" hidden="1" customHeight="1" x14ac:dyDescent="0.25">
      <c r="A37" s="89">
        <v>18010200</v>
      </c>
      <c r="B37" s="90" t="s">
        <v>36</v>
      </c>
      <c r="C37" s="65">
        <f t="shared" si="0"/>
        <v>0</v>
      </c>
      <c r="D37" s="94"/>
      <c r="E37" s="65"/>
      <c r="F37" s="65"/>
    </row>
    <row r="38" spans="1:6" ht="40.5" hidden="1" customHeight="1" x14ac:dyDescent="0.25">
      <c r="A38" s="89">
        <v>18010300</v>
      </c>
      <c r="B38" s="90" t="s">
        <v>37</v>
      </c>
      <c r="C38" s="65">
        <f t="shared" si="0"/>
        <v>0</v>
      </c>
      <c r="D38" s="94"/>
      <c r="E38" s="65"/>
      <c r="F38" s="65"/>
    </row>
    <row r="39" spans="1:6" ht="42.75" hidden="1" customHeight="1" x14ac:dyDescent="0.25">
      <c r="A39" s="89">
        <v>18010400</v>
      </c>
      <c r="B39" s="90" t="s">
        <v>38</v>
      </c>
      <c r="C39" s="65">
        <f t="shared" si="0"/>
        <v>0</v>
      </c>
      <c r="D39" s="94"/>
      <c r="E39" s="65"/>
      <c r="F39" s="65"/>
    </row>
    <row r="40" spans="1:6" ht="27" hidden="1" customHeight="1" x14ac:dyDescent="0.25">
      <c r="A40" s="89">
        <v>18010500</v>
      </c>
      <c r="B40" s="90" t="s">
        <v>39</v>
      </c>
      <c r="C40" s="65">
        <f t="shared" si="0"/>
        <v>0</v>
      </c>
      <c r="D40" s="94"/>
      <c r="E40" s="65"/>
      <c r="F40" s="65"/>
    </row>
    <row r="41" spans="1:6" ht="26.25" hidden="1" customHeight="1" x14ac:dyDescent="0.25">
      <c r="A41" s="89">
        <v>18010600</v>
      </c>
      <c r="B41" s="90" t="s">
        <v>40</v>
      </c>
      <c r="C41" s="65">
        <f t="shared" si="0"/>
        <v>0</v>
      </c>
      <c r="D41" s="94"/>
      <c r="E41" s="65"/>
      <c r="F41" s="65"/>
    </row>
    <row r="42" spans="1:6" ht="27" hidden="1" customHeight="1" x14ac:dyDescent="0.25">
      <c r="A42" s="89">
        <v>18010700</v>
      </c>
      <c r="B42" s="90" t="s">
        <v>41</v>
      </c>
      <c r="C42" s="65">
        <f t="shared" si="0"/>
        <v>0</v>
      </c>
      <c r="D42" s="94"/>
      <c r="E42" s="65"/>
      <c r="F42" s="65"/>
    </row>
    <row r="43" spans="1:6" ht="26.25" hidden="1" customHeight="1" x14ac:dyDescent="0.25">
      <c r="A43" s="89">
        <v>18010900</v>
      </c>
      <c r="B43" s="90" t="s">
        <v>42</v>
      </c>
      <c r="C43" s="65">
        <f t="shared" si="0"/>
        <v>0</v>
      </c>
      <c r="D43" s="94"/>
      <c r="E43" s="65"/>
      <c r="F43" s="65"/>
    </row>
    <row r="44" spans="1:6" ht="27.75" customHeight="1" x14ac:dyDescent="0.25">
      <c r="A44" s="89">
        <v>18011000</v>
      </c>
      <c r="B44" s="90" t="s">
        <v>43</v>
      </c>
      <c r="C44" s="65">
        <f t="shared" si="0"/>
        <v>-72124</v>
      </c>
      <c r="D44" s="94">
        <v>-72124</v>
      </c>
      <c r="E44" s="65"/>
      <c r="F44" s="65"/>
    </row>
    <row r="45" spans="1:6" ht="30" customHeight="1" x14ac:dyDescent="0.25">
      <c r="A45" s="89">
        <v>18011100</v>
      </c>
      <c r="B45" s="90" t="s">
        <v>44</v>
      </c>
      <c r="C45" s="65">
        <f t="shared" si="0"/>
        <v>-170834</v>
      </c>
      <c r="D45" s="94">
        <v>-170834</v>
      </c>
      <c r="E45" s="65"/>
      <c r="F45" s="65"/>
    </row>
    <row r="46" spans="1:6" s="60" customFormat="1" ht="24.95" customHeight="1" x14ac:dyDescent="0.25">
      <c r="A46" s="84">
        <v>18030000</v>
      </c>
      <c r="B46" s="88" t="s">
        <v>45</v>
      </c>
      <c r="C46" s="86">
        <f t="shared" si="0"/>
        <v>172910</v>
      </c>
      <c r="D46" s="87">
        <f>D47+D48</f>
        <v>172910</v>
      </c>
      <c r="E46" s="86"/>
      <c r="F46" s="86"/>
    </row>
    <row r="47" spans="1:6" ht="21" customHeight="1" x14ac:dyDescent="0.25">
      <c r="A47" s="89">
        <v>18030100</v>
      </c>
      <c r="B47" s="90" t="s">
        <v>46</v>
      </c>
      <c r="C47" s="65">
        <f t="shared" si="0"/>
        <v>162670</v>
      </c>
      <c r="D47" s="94">
        <v>162670</v>
      </c>
      <c r="E47" s="65"/>
      <c r="F47" s="65"/>
    </row>
    <row r="48" spans="1:6" ht="21" customHeight="1" x14ac:dyDescent="0.25">
      <c r="A48" s="89">
        <v>18030200</v>
      </c>
      <c r="B48" s="90" t="s">
        <v>47</v>
      </c>
      <c r="C48" s="65">
        <f t="shared" si="0"/>
        <v>10240</v>
      </c>
      <c r="D48" s="94">
        <v>10240</v>
      </c>
      <c r="E48" s="65"/>
      <c r="F48" s="65"/>
    </row>
    <row r="49" spans="1:6" s="60" customFormat="1" ht="24.95" hidden="1" customHeight="1" x14ac:dyDescent="0.25">
      <c r="A49" s="84">
        <v>18050000</v>
      </c>
      <c r="B49" s="88" t="s">
        <v>48</v>
      </c>
      <c r="C49" s="86">
        <f t="shared" si="0"/>
        <v>0</v>
      </c>
      <c r="D49" s="87">
        <f>D50+D51+D52</f>
        <v>0</v>
      </c>
      <c r="E49" s="86"/>
      <c r="F49" s="86"/>
    </row>
    <row r="50" spans="1:6" ht="24.95" hidden="1" customHeight="1" x14ac:dyDescent="0.25">
      <c r="A50" s="89">
        <v>18050300</v>
      </c>
      <c r="B50" s="90" t="s">
        <v>49</v>
      </c>
      <c r="C50" s="65">
        <f t="shared" si="0"/>
        <v>0</v>
      </c>
      <c r="D50" s="94"/>
      <c r="E50" s="65"/>
      <c r="F50" s="65"/>
    </row>
    <row r="51" spans="1:6" ht="24.95" hidden="1" customHeight="1" x14ac:dyDescent="0.25">
      <c r="A51" s="89">
        <v>18050400</v>
      </c>
      <c r="B51" s="90" t="s">
        <v>50</v>
      </c>
      <c r="C51" s="65">
        <f t="shared" si="0"/>
        <v>0</v>
      </c>
      <c r="D51" s="94"/>
      <c r="E51" s="65"/>
      <c r="F51" s="65"/>
    </row>
    <row r="52" spans="1:6" ht="57" hidden="1" customHeight="1" x14ac:dyDescent="0.25">
      <c r="A52" s="89">
        <v>18050500</v>
      </c>
      <c r="B52" s="43" t="s">
        <v>51</v>
      </c>
      <c r="C52" s="65">
        <f t="shared" si="0"/>
        <v>0</v>
      </c>
      <c r="D52" s="94"/>
      <c r="E52" s="65"/>
      <c r="F52" s="65"/>
    </row>
    <row r="53" spans="1:6" s="60" customFormat="1" ht="25.5" hidden="1" customHeight="1" x14ac:dyDescent="0.25">
      <c r="A53" s="84">
        <v>19000000</v>
      </c>
      <c r="B53" s="88" t="s">
        <v>52</v>
      </c>
      <c r="C53" s="86">
        <f t="shared" si="0"/>
        <v>0</v>
      </c>
      <c r="D53" s="87">
        <f>D54</f>
        <v>0</v>
      </c>
      <c r="E53" s="87">
        <f>E54</f>
        <v>0</v>
      </c>
      <c r="F53" s="86"/>
    </row>
    <row r="54" spans="1:6" s="60" customFormat="1" ht="24.95" hidden="1" customHeight="1" x14ac:dyDescent="0.25">
      <c r="A54" s="84">
        <v>19010000</v>
      </c>
      <c r="B54" s="88" t="s">
        <v>53</v>
      </c>
      <c r="C54" s="86">
        <f t="shared" si="0"/>
        <v>0</v>
      </c>
      <c r="D54" s="87">
        <f>D55+D56+D57</f>
        <v>0</v>
      </c>
      <c r="E54" s="87">
        <f>E55+E56+E57</f>
        <v>0</v>
      </c>
      <c r="F54" s="86"/>
    </row>
    <row r="55" spans="1:6" ht="36.75" hidden="1" customHeight="1" x14ac:dyDescent="0.25">
      <c r="A55" s="89">
        <v>19010100</v>
      </c>
      <c r="B55" s="90" t="s">
        <v>116</v>
      </c>
      <c r="C55" s="65">
        <f t="shared" si="0"/>
        <v>0</v>
      </c>
      <c r="D55" s="94"/>
      <c r="E55" s="65"/>
      <c r="F55" s="65"/>
    </row>
    <row r="56" spans="1:6" ht="35.25" hidden="1" customHeight="1" x14ac:dyDescent="0.25">
      <c r="A56" s="89">
        <v>19010200</v>
      </c>
      <c r="B56" s="90" t="s">
        <v>117</v>
      </c>
      <c r="C56" s="65">
        <f t="shared" si="0"/>
        <v>0</v>
      </c>
      <c r="D56" s="94"/>
      <c r="E56" s="65"/>
      <c r="F56" s="65"/>
    </row>
    <row r="57" spans="1:6" ht="45" hidden="1" customHeight="1" x14ac:dyDescent="0.25">
      <c r="A57" s="89">
        <v>19010300</v>
      </c>
      <c r="B57" s="90" t="s">
        <v>118</v>
      </c>
      <c r="C57" s="65">
        <f t="shared" si="0"/>
        <v>0</v>
      </c>
      <c r="D57" s="94"/>
      <c r="E57" s="65"/>
      <c r="F57" s="65"/>
    </row>
    <row r="58" spans="1:6" s="60" customFormat="1" ht="24.95" customHeight="1" x14ac:dyDescent="0.25">
      <c r="A58" s="84">
        <v>20000000</v>
      </c>
      <c r="B58" s="88" t="s">
        <v>57</v>
      </c>
      <c r="C58" s="86">
        <f t="shared" si="0"/>
        <v>-216800</v>
      </c>
      <c r="D58" s="87">
        <f>D59+D69+D81+D87</f>
        <v>-216800</v>
      </c>
      <c r="E58" s="87">
        <f>E59+E69+E81+E87</f>
        <v>0</v>
      </c>
      <c r="F58" s="87">
        <f>F59+F69+F81+F87</f>
        <v>0</v>
      </c>
    </row>
    <row r="59" spans="1:6" s="60" customFormat="1" ht="24.95" customHeight="1" x14ac:dyDescent="0.25">
      <c r="A59" s="84">
        <v>21000000</v>
      </c>
      <c r="B59" s="88" t="s">
        <v>58</v>
      </c>
      <c r="C59" s="86">
        <f t="shared" si="0"/>
        <v>-106800</v>
      </c>
      <c r="D59" s="87">
        <f>D60+D63+D62</f>
        <v>-106800</v>
      </c>
      <c r="E59" s="87">
        <f>E63+E68</f>
        <v>0</v>
      </c>
      <c r="F59" s="87">
        <f>F63+F68</f>
        <v>0</v>
      </c>
    </row>
    <row r="60" spans="1:6" s="60" customFormat="1" ht="80.25" hidden="1" customHeight="1" x14ac:dyDescent="0.25">
      <c r="A60" s="102">
        <v>21010000</v>
      </c>
      <c r="B60" s="88" t="s">
        <v>59</v>
      </c>
      <c r="C60" s="86">
        <f t="shared" si="0"/>
        <v>0</v>
      </c>
      <c r="D60" s="87">
        <f>D61</f>
        <v>0</v>
      </c>
      <c r="E60" s="87"/>
      <c r="F60" s="87"/>
    </row>
    <row r="61" spans="1:6" ht="39" hidden="1" customHeight="1" x14ac:dyDescent="0.25">
      <c r="A61" s="89">
        <v>21010300</v>
      </c>
      <c r="B61" s="90" t="s">
        <v>60</v>
      </c>
      <c r="C61" s="65">
        <f t="shared" si="0"/>
        <v>0</v>
      </c>
      <c r="D61" s="94"/>
      <c r="E61" s="94"/>
      <c r="F61" s="94"/>
    </row>
    <row r="62" spans="1:6" s="60" customFormat="1" ht="39" hidden="1" customHeight="1" x14ac:dyDescent="0.25">
      <c r="A62" s="84">
        <v>21050000</v>
      </c>
      <c r="B62" s="60" t="s">
        <v>119</v>
      </c>
      <c r="C62" s="65">
        <f t="shared" si="0"/>
        <v>0</v>
      </c>
      <c r="D62" s="87"/>
      <c r="E62" s="87"/>
      <c r="F62" s="87"/>
    </row>
    <row r="63" spans="1:6" s="60" customFormat="1" ht="20.25" customHeight="1" x14ac:dyDescent="0.25">
      <c r="A63" s="84">
        <v>21080000</v>
      </c>
      <c r="B63" s="88" t="s">
        <v>61</v>
      </c>
      <c r="C63" s="86">
        <f t="shared" si="0"/>
        <v>-106800</v>
      </c>
      <c r="D63" s="87">
        <f>D64+D65+D66+D67</f>
        <v>-106800</v>
      </c>
      <c r="E63" s="87">
        <f>E64+E65+E66</f>
        <v>0</v>
      </c>
      <c r="F63" s="87">
        <f>F64+F65+F66</f>
        <v>0</v>
      </c>
    </row>
    <row r="64" spans="1:6" ht="48" hidden="1" customHeight="1" x14ac:dyDescent="0.25">
      <c r="A64" s="89">
        <v>21080900</v>
      </c>
      <c r="B64" s="90" t="s">
        <v>120</v>
      </c>
      <c r="C64" s="86">
        <f t="shared" si="0"/>
        <v>0</v>
      </c>
      <c r="D64" s="94"/>
      <c r="E64" s="65"/>
      <c r="F64" s="65"/>
    </row>
    <row r="65" spans="1:6" ht="30" hidden="1" customHeight="1" x14ac:dyDescent="0.25">
      <c r="A65" s="89">
        <v>21081100</v>
      </c>
      <c r="B65" s="90" t="s">
        <v>62</v>
      </c>
      <c r="C65" s="65">
        <f t="shared" si="0"/>
        <v>0</v>
      </c>
      <c r="D65" s="94"/>
      <c r="E65" s="65"/>
      <c r="F65" s="65"/>
    </row>
    <row r="66" spans="1:6" ht="40.5" customHeight="1" x14ac:dyDescent="0.25">
      <c r="A66" s="89">
        <v>21081500</v>
      </c>
      <c r="B66" s="90" t="s">
        <v>63</v>
      </c>
      <c r="C66" s="65">
        <f t="shared" si="0"/>
        <v>-106800</v>
      </c>
      <c r="D66" s="94">
        <v>-106800</v>
      </c>
      <c r="E66" s="65"/>
      <c r="F66" s="65"/>
    </row>
    <row r="67" spans="1:6" ht="40.5" hidden="1" customHeight="1" x14ac:dyDescent="0.25">
      <c r="A67" s="89">
        <v>21081700</v>
      </c>
      <c r="B67" s="90" t="s">
        <v>64</v>
      </c>
      <c r="C67" s="65">
        <f t="shared" si="0"/>
        <v>0</v>
      </c>
      <c r="D67" s="94"/>
      <c r="E67" s="65"/>
      <c r="F67" s="65"/>
    </row>
    <row r="68" spans="1:6" s="60" customFormat="1" ht="48.75" hidden="1" customHeight="1" x14ac:dyDescent="0.25">
      <c r="A68" s="84">
        <v>21110000</v>
      </c>
      <c r="B68" s="88" t="s">
        <v>65</v>
      </c>
      <c r="C68" s="86">
        <f t="shared" si="0"/>
        <v>0</v>
      </c>
      <c r="D68" s="87"/>
      <c r="E68" s="86"/>
      <c r="F68" s="86"/>
    </row>
    <row r="69" spans="1:6" s="60" customFormat="1" ht="37.5" customHeight="1" x14ac:dyDescent="0.25">
      <c r="A69" s="84">
        <v>22000000</v>
      </c>
      <c r="B69" s="88" t="s">
        <v>66</v>
      </c>
      <c r="C69" s="86">
        <f t="shared" si="0"/>
        <v>-110000</v>
      </c>
      <c r="D69" s="87">
        <f>D70+D75+D77</f>
        <v>-110000</v>
      </c>
      <c r="E69" s="87"/>
      <c r="F69" s="87"/>
    </row>
    <row r="70" spans="1:6" s="60" customFormat="1" ht="37.5" hidden="1" customHeight="1" x14ac:dyDescent="0.25">
      <c r="A70" s="84">
        <v>22010000</v>
      </c>
      <c r="B70" s="88" t="s">
        <v>67</v>
      </c>
      <c r="C70" s="86">
        <f t="shared" si="0"/>
        <v>0</v>
      </c>
      <c r="D70" s="87">
        <f>D71+D72+D73+D74</f>
        <v>0</v>
      </c>
      <c r="E70" s="87"/>
      <c r="F70" s="87"/>
    </row>
    <row r="71" spans="1:6" ht="37.5" hidden="1" customHeight="1" x14ac:dyDescent="0.25">
      <c r="A71" s="89">
        <v>22010300</v>
      </c>
      <c r="B71" s="90" t="s">
        <v>68</v>
      </c>
      <c r="C71" s="65">
        <f t="shared" si="0"/>
        <v>0</v>
      </c>
      <c r="D71" s="94"/>
      <c r="E71" s="94"/>
      <c r="F71" s="94"/>
    </row>
    <row r="72" spans="1:6" ht="29.25" hidden="1" customHeight="1" x14ac:dyDescent="0.25">
      <c r="A72" s="89">
        <v>22012500</v>
      </c>
      <c r="B72" s="90" t="s">
        <v>69</v>
      </c>
      <c r="C72" s="65">
        <f t="shared" si="0"/>
        <v>0</v>
      </c>
      <c r="D72" s="94"/>
      <c r="E72" s="94"/>
      <c r="F72" s="94"/>
    </row>
    <row r="73" spans="1:6" ht="37.5" hidden="1" customHeight="1" x14ac:dyDescent="0.25">
      <c r="A73" s="89">
        <v>22012600</v>
      </c>
      <c r="B73" s="90" t="s">
        <v>70</v>
      </c>
      <c r="C73" s="65">
        <f t="shared" si="0"/>
        <v>0</v>
      </c>
      <c r="D73" s="94"/>
      <c r="E73" s="94"/>
      <c r="F73" s="94"/>
    </row>
    <row r="74" spans="1:6" ht="86.25" hidden="1" customHeight="1" x14ac:dyDescent="0.25">
      <c r="A74" s="89">
        <v>22012900</v>
      </c>
      <c r="B74" s="90" t="s">
        <v>71</v>
      </c>
      <c r="C74" s="65">
        <f t="shared" si="0"/>
        <v>0</v>
      </c>
      <c r="D74" s="94"/>
      <c r="E74" s="65"/>
      <c r="F74" s="65"/>
    </row>
    <row r="75" spans="1:6" s="60" customFormat="1" ht="37.5" hidden="1" customHeight="1" x14ac:dyDescent="0.25">
      <c r="A75" s="84">
        <v>22080000</v>
      </c>
      <c r="B75" s="88" t="s">
        <v>72</v>
      </c>
      <c r="C75" s="86">
        <f t="shared" si="0"/>
        <v>0</v>
      </c>
      <c r="D75" s="87"/>
      <c r="E75" s="86"/>
      <c r="F75" s="86"/>
    </row>
    <row r="76" spans="1:6" ht="42.75" hidden="1" customHeight="1" x14ac:dyDescent="0.25">
      <c r="A76" s="89">
        <v>22080400</v>
      </c>
      <c r="B76" s="90" t="s">
        <v>73</v>
      </c>
      <c r="C76" s="65">
        <f t="shared" si="0"/>
        <v>0</v>
      </c>
      <c r="D76" s="94"/>
      <c r="E76" s="65"/>
      <c r="F76" s="65"/>
    </row>
    <row r="77" spans="1:6" s="60" customFormat="1" ht="24.95" customHeight="1" x14ac:dyDescent="0.25">
      <c r="A77" s="84">
        <v>22090000</v>
      </c>
      <c r="B77" s="88" t="s">
        <v>74</v>
      </c>
      <c r="C77" s="86">
        <f t="shared" si="0"/>
        <v>-110000</v>
      </c>
      <c r="D77" s="87">
        <f>D78+D79</f>
        <v>-110000</v>
      </c>
      <c r="E77" s="86"/>
      <c r="F77" s="86"/>
    </row>
    <row r="78" spans="1:6" ht="34.5" customHeight="1" x14ac:dyDescent="0.25">
      <c r="A78" s="89">
        <v>22090100</v>
      </c>
      <c r="B78" s="90" t="s">
        <v>75</v>
      </c>
      <c r="C78" s="65">
        <f t="shared" si="0"/>
        <v>-100000</v>
      </c>
      <c r="D78" s="94">
        <v>-100000</v>
      </c>
      <c r="E78" s="65"/>
      <c r="F78" s="65"/>
    </row>
    <row r="79" spans="1:6" ht="34.5" customHeight="1" x14ac:dyDescent="0.25">
      <c r="A79" s="89">
        <v>22090400</v>
      </c>
      <c r="B79" s="90" t="s">
        <v>76</v>
      </c>
      <c r="C79" s="65">
        <f t="shared" si="0"/>
        <v>-10000</v>
      </c>
      <c r="D79" s="94">
        <v>-10000</v>
      </c>
      <c r="E79" s="65"/>
      <c r="F79" s="65"/>
    </row>
    <row r="80" spans="1:6" ht="52.5" hidden="1" customHeight="1" x14ac:dyDescent="0.25">
      <c r="A80" s="89"/>
      <c r="B80" s="90"/>
      <c r="C80" s="86">
        <f t="shared" si="0"/>
        <v>0</v>
      </c>
      <c r="D80" s="94"/>
      <c r="E80" s="65"/>
      <c r="F80" s="65"/>
    </row>
    <row r="81" spans="1:6" s="60" customFormat="1" ht="24.95" hidden="1" customHeight="1" x14ac:dyDescent="0.25">
      <c r="A81" s="84">
        <v>24000000</v>
      </c>
      <c r="B81" s="88" t="s">
        <v>78</v>
      </c>
      <c r="C81" s="86">
        <f t="shared" si="0"/>
        <v>0</v>
      </c>
      <c r="D81" s="87">
        <f>D82+D86</f>
        <v>0</v>
      </c>
      <c r="E81" s="87">
        <f>E82+E86</f>
        <v>0</v>
      </c>
      <c r="F81" s="87">
        <f>F82+F86</f>
        <v>0</v>
      </c>
    </row>
    <row r="82" spans="1:6" s="60" customFormat="1" ht="24.95" hidden="1" customHeight="1" x14ac:dyDescent="0.25">
      <c r="A82" s="84">
        <v>24060000</v>
      </c>
      <c r="B82" s="88" t="s">
        <v>79</v>
      </c>
      <c r="C82" s="86">
        <f t="shared" si="0"/>
        <v>0</v>
      </c>
      <c r="D82" s="87">
        <f>D83+D84+D85</f>
        <v>0</v>
      </c>
      <c r="E82" s="87">
        <f>E83+E84</f>
        <v>0</v>
      </c>
      <c r="F82" s="87">
        <f>F83+F84</f>
        <v>0</v>
      </c>
    </row>
    <row r="83" spans="1:6" ht="24.95" hidden="1" customHeight="1" x14ac:dyDescent="0.25">
      <c r="A83" s="89">
        <v>24060300</v>
      </c>
      <c r="B83" s="90" t="s">
        <v>79</v>
      </c>
      <c r="C83" s="65">
        <f t="shared" ref="C83:C115" si="1">D83+E83</f>
        <v>0</v>
      </c>
      <c r="D83" s="94"/>
      <c r="E83" s="65"/>
      <c r="F83" s="65"/>
    </row>
    <row r="84" spans="1:6" ht="50.25" hidden="1" customHeight="1" x14ac:dyDescent="0.25">
      <c r="A84" s="89">
        <v>24062100</v>
      </c>
      <c r="B84" s="90" t="s">
        <v>80</v>
      </c>
      <c r="C84" s="65">
        <f t="shared" si="1"/>
        <v>0</v>
      </c>
      <c r="D84" s="94"/>
      <c r="E84" s="65"/>
      <c r="F84" s="65"/>
    </row>
    <row r="85" spans="1:6" ht="113.25" hidden="1" customHeight="1" x14ac:dyDescent="0.25">
      <c r="A85" s="89">
        <v>24062200</v>
      </c>
      <c r="B85" s="90" t="s">
        <v>81</v>
      </c>
      <c r="C85" s="65">
        <f t="shared" si="1"/>
        <v>0</v>
      </c>
      <c r="D85" s="94"/>
      <c r="E85" s="65"/>
      <c r="F85" s="65"/>
    </row>
    <row r="86" spans="1:6" s="60" customFormat="1" ht="39.75" hidden="1" customHeight="1" x14ac:dyDescent="0.25">
      <c r="A86" s="102">
        <v>24170000</v>
      </c>
      <c r="B86" s="88" t="s">
        <v>82</v>
      </c>
      <c r="C86" s="86">
        <f t="shared" si="1"/>
        <v>0</v>
      </c>
      <c r="D86" s="87"/>
      <c r="E86" s="86"/>
      <c r="F86" s="86">
        <f>E86</f>
        <v>0</v>
      </c>
    </row>
    <row r="87" spans="1:6" s="60" customFormat="1" ht="24.95" hidden="1" customHeight="1" x14ac:dyDescent="0.25">
      <c r="A87" s="84">
        <v>25000000</v>
      </c>
      <c r="B87" s="88" t="s">
        <v>83</v>
      </c>
      <c r="C87" s="86">
        <f t="shared" si="1"/>
        <v>0</v>
      </c>
      <c r="D87" s="87"/>
      <c r="E87" s="86">
        <f>E88</f>
        <v>0</v>
      </c>
      <c r="F87" s="86"/>
    </row>
    <row r="88" spans="1:6" s="60" customFormat="1" ht="36" hidden="1" customHeight="1" x14ac:dyDescent="0.25">
      <c r="A88" s="84">
        <v>25010000</v>
      </c>
      <c r="B88" s="88" t="s">
        <v>84</v>
      </c>
      <c r="C88" s="86">
        <f t="shared" si="1"/>
        <v>0</v>
      </c>
      <c r="D88" s="87"/>
      <c r="E88" s="86">
        <f>E89+E90+E91</f>
        <v>0</v>
      </c>
      <c r="F88" s="86"/>
    </row>
    <row r="89" spans="1:6" ht="36" hidden="1" customHeight="1" x14ac:dyDescent="0.25">
      <c r="A89" s="92">
        <v>25010100</v>
      </c>
      <c r="B89" s="103" t="s">
        <v>85</v>
      </c>
      <c r="C89" s="65">
        <f t="shared" si="1"/>
        <v>0</v>
      </c>
      <c r="D89" s="94"/>
      <c r="E89" s="65"/>
      <c r="F89" s="65"/>
    </row>
    <row r="90" spans="1:6" ht="24.95" hidden="1" customHeight="1" x14ac:dyDescent="0.25">
      <c r="A90" s="92">
        <v>25010300</v>
      </c>
      <c r="B90" s="103" t="s">
        <v>121</v>
      </c>
      <c r="C90" s="65">
        <f t="shared" si="1"/>
        <v>0</v>
      </c>
      <c r="D90" s="94"/>
      <c r="E90" s="65"/>
      <c r="F90" s="65"/>
    </row>
    <row r="91" spans="1:6" ht="37.5" hidden="1" customHeight="1" x14ac:dyDescent="0.25">
      <c r="A91" s="92">
        <v>25010400</v>
      </c>
      <c r="B91" s="90" t="s">
        <v>87</v>
      </c>
      <c r="C91" s="65">
        <f t="shared" si="1"/>
        <v>0</v>
      </c>
      <c r="D91" s="94"/>
      <c r="E91" s="65"/>
      <c r="F91" s="65"/>
    </row>
    <row r="92" spans="1:6" s="60" customFormat="1" ht="24.95" hidden="1" customHeight="1" x14ac:dyDescent="0.25">
      <c r="A92" s="84">
        <v>30000000</v>
      </c>
      <c r="B92" s="88" t="s">
        <v>88</v>
      </c>
      <c r="C92" s="86">
        <f t="shared" si="1"/>
        <v>0</v>
      </c>
      <c r="D92" s="87"/>
      <c r="E92" s="86">
        <f>E93+E95</f>
        <v>0</v>
      </c>
      <c r="F92" s="86">
        <f>F93+F95</f>
        <v>0</v>
      </c>
    </row>
    <row r="93" spans="1:6" s="60" customFormat="1" ht="24.95" hidden="1" customHeight="1" x14ac:dyDescent="0.25">
      <c r="A93" s="84">
        <v>31000000</v>
      </c>
      <c r="B93" s="88" t="s">
        <v>89</v>
      </c>
      <c r="C93" s="86">
        <f t="shared" si="1"/>
        <v>0</v>
      </c>
      <c r="D93" s="87"/>
      <c r="E93" s="86">
        <f>E94</f>
        <v>0</v>
      </c>
      <c r="F93" s="86">
        <f>E93</f>
        <v>0</v>
      </c>
    </row>
    <row r="94" spans="1:6" ht="36.75" hidden="1" customHeight="1" x14ac:dyDescent="0.25">
      <c r="A94" s="89">
        <v>31030000</v>
      </c>
      <c r="B94" s="90" t="s">
        <v>90</v>
      </c>
      <c r="C94" s="65">
        <f t="shared" si="1"/>
        <v>0</v>
      </c>
      <c r="D94" s="94"/>
      <c r="E94" s="65"/>
      <c r="F94" s="65">
        <f>E94</f>
        <v>0</v>
      </c>
    </row>
    <row r="95" spans="1:6" s="60" customFormat="1" ht="24.95" hidden="1" customHeight="1" x14ac:dyDescent="0.25">
      <c r="A95" s="84">
        <v>33000000</v>
      </c>
      <c r="B95" s="88" t="s">
        <v>91</v>
      </c>
      <c r="C95" s="86">
        <f t="shared" si="1"/>
        <v>0</v>
      </c>
      <c r="D95" s="87"/>
      <c r="E95" s="86">
        <f>E96</f>
        <v>0</v>
      </c>
      <c r="F95" s="86">
        <f>E95</f>
        <v>0</v>
      </c>
    </row>
    <row r="96" spans="1:6" s="60" customFormat="1" ht="24.95" hidden="1" customHeight="1" x14ac:dyDescent="0.25">
      <c r="A96" s="84">
        <v>33010000</v>
      </c>
      <c r="B96" s="88" t="s">
        <v>92</v>
      </c>
      <c r="C96" s="86">
        <f t="shared" si="1"/>
        <v>0</v>
      </c>
      <c r="D96" s="87"/>
      <c r="E96" s="86">
        <f>E97+E98</f>
        <v>0</v>
      </c>
      <c r="F96" s="86">
        <f>F97+F98</f>
        <v>0</v>
      </c>
    </row>
    <row r="97" spans="1:6" ht="51" hidden="1" customHeight="1" x14ac:dyDescent="0.25">
      <c r="A97" s="89">
        <v>33010100</v>
      </c>
      <c r="B97" s="90" t="s">
        <v>93</v>
      </c>
      <c r="C97" s="65">
        <f t="shared" si="1"/>
        <v>0</v>
      </c>
      <c r="D97" s="94"/>
      <c r="E97" s="65"/>
      <c r="F97" s="65">
        <f>E97</f>
        <v>0</v>
      </c>
    </row>
    <row r="98" spans="1:6" ht="63.75" hidden="1" customHeight="1" x14ac:dyDescent="0.25">
      <c r="A98" s="89">
        <v>33010200</v>
      </c>
      <c r="B98" s="90" t="s">
        <v>94</v>
      </c>
      <c r="C98" s="86">
        <f t="shared" si="1"/>
        <v>0</v>
      </c>
      <c r="D98" s="94"/>
      <c r="E98" s="65"/>
      <c r="F98" s="65">
        <f>E98</f>
        <v>0</v>
      </c>
    </row>
    <row r="99" spans="1:6" s="60" customFormat="1" ht="24.95" hidden="1" customHeight="1" x14ac:dyDescent="0.25">
      <c r="A99" s="84">
        <v>50000000</v>
      </c>
      <c r="B99" s="88" t="s">
        <v>95</v>
      </c>
      <c r="C99" s="86">
        <f t="shared" si="1"/>
        <v>0</v>
      </c>
      <c r="D99" s="87"/>
      <c r="E99" s="86">
        <f>E100</f>
        <v>0</v>
      </c>
      <c r="F99" s="86"/>
    </row>
    <row r="100" spans="1:6" ht="9" hidden="1" customHeight="1" x14ac:dyDescent="0.25">
      <c r="A100" s="89">
        <v>50110000</v>
      </c>
      <c r="B100" s="90" t="s">
        <v>96</v>
      </c>
      <c r="C100" s="65">
        <f t="shared" si="1"/>
        <v>0</v>
      </c>
      <c r="D100" s="94"/>
      <c r="E100" s="65"/>
      <c r="F100" s="65"/>
    </row>
    <row r="101" spans="1:6" s="108" customFormat="1" ht="24.95" customHeight="1" x14ac:dyDescent="0.25">
      <c r="A101" s="104"/>
      <c r="B101" s="105" t="s">
        <v>97</v>
      </c>
      <c r="C101" s="106">
        <f t="shared" si="1"/>
        <v>102500000</v>
      </c>
      <c r="D101" s="107">
        <f>D11+D58+D92+D99</f>
        <v>102500000</v>
      </c>
      <c r="E101" s="107">
        <f>E11+E58+E92+E99</f>
        <v>0</v>
      </c>
      <c r="F101" s="107">
        <f>F11+F58+F92+F99</f>
        <v>0</v>
      </c>
    </row>
    <row r="102" spans="1:6" s="60" customFormat="1" ht="21.75" hidden="1" customHeight="1" x14ac:dyDescent="0.25">
      <c r="A102" s="84">
        <v>40000000</v>
      </c>
      <c r="B102" s="88" t="s">
        <v>98</v>
      </c>
      <c r="C102" s="86">
        <f t="shared" si="1"/>
        <v>0</v>
      </c>
      <c r="D102" s="87">
        <f>D103</f>
        <v>0</v>
      </c>
      <c r="E102" s="87">
        <f>E103</f>
        <v>0</v>
      </c>
      <c r="F102" s="87">
        <f>F103</f>
        <v>0</v>
      </c>
    </row>
    <row r="103" spans="1:6" s="60" customFormat="1" ht="27" hidden="1" customHeight="1" x14ac:dyDescent="0.25">
      <c r="A103" s="84">
        <v>41000000</v>
      </c>
      <c r="B103" s="88" t="s">
        <v>99</v>
      </c>
      <c r="C103" s="86">
        <f t="shared" si="1"/>
        <v>0</v>
      </c>
      <c r="D103" s="87">
        <f>D104+D108+D106</f>
        <v>0</v>
      </c>
      <c r="E103" s="87">
        <f>E104+E108+E106</f>
        <v>0</v>
      </c>
      <c r="F103" s="87">
        <f>F104+F108+F106</f>
        <v>0</v>
      </c>
    </row>
    <row r="104" spans="1:6" s="60" customFormat="1" ht="30.75" hidden="1" customHeight="1" x14ac:dyDescent="0.25">
      <c r="A104" s="84">
        <v>41030000</v>
      </c>
      <c r="B104" s="60" t="s">
        <v>100</v>
      </c>
      <c r="C104" s="86">
        <f t="shared" si="1"/>
        <v>0</v>
      </c>
      <c r="D104" s="87">
        <f>D105</f>
        <v>0</v>
      </c>
      <c r="E104" s="87">
        <f>SUM(E105)</f>
        <v>0</v>
      </c>
      <c r="F104" s="86"/>
    </row>
    <row r="105" spans="1:6" ht="27" hidden="1" customHeight="1" x14ac:dyDescent="0.25">
      <c r="A105" s="89">
        <v>41033900</v>
      </c>
      <c r="B105" s="90" t="s">
        <v>102</v>
      </c>
      <c r="C105" s="65">
        <f t="shared" si="1"/>
        <v>0</v>
      </c>
      <c r="D105" s="94"/>
      <c r="E105" s="65">
        <v>0</v>
      </c>
      <c r="F105" s="65">
        <v>0</v>
      </c>
    </row>
    <row r="106" spans="1:6" s="60" customFormat="1" ht="32.25" hidden="1" customHeight="1" x14ac:dyDescent="0.25">
      <c r="A106" s="84">
        <v>41040000</v>
      </c>
      <c r="B106" s="109" t="s">
        <v>103</v>
      </c>
      <c r="C106" s="86">
        <f t="shared" si="1"/>
        <v>0</v>
      </c>
      <c r="D106" s="87">
        <f>D107</f>
        <v>0</v>
      </c>
      <c r="E106" s="86"/>
      <c r="F106" s="86"/>
    </row>
    <row r="107" spans="1:6" ht="9.75" hidden="1" customHeight="1" x14ac:dyDescent="0.25">
      <c r="A107" s="89">
        <v>41040200</v>
      </c>
      <c r="B107" s="90" t="s">
        <v>104</v>
      </c>
      <c r="C107" s="65">
        <f t="shared" si="1"/>
        <v>0</v>
      </c>
      <c r="D107" s="94"/>
      <c r="E107" s="65"/>
      <c r="F107" s="65"/>
    </row>
    <row r="108" spans="1:6" s="60" customFormat="1" ht="34.5" hidden="1" customHeight="1" x14ac:dyDescent="0.25">
      <c r="A108" s="110">
        <v>41050000</v>
      </c>
      <c r="B108" s="60" t="s">
        <v>105</v>
      </c>
      <c r="C108" s="111">
        <f t="shared" si="1"/>
        <v>0</v>
      </c>
      <c r="D108" s="112">
        <f>SUM(D109:D115)</f>
        <v>0</v>
      </c>
      <c r="E108" s="112">
        <f>SUM(E109:E115)</f>
        <v>0</v>
      </c>
      <c r="F108" s="112">
        <f>SUM(F109:F115)</f>
        <v>0</v>
      </c>
    </row>
    <row r="109" spans="1:6" ht="208.5" hidden="1" customHeight="1" x14ac:dyDescent="0.25">
      <c r="A109" s="89">
        <v>41050400</v>
      </c>
      <c r="B109" s="90" t="s">
        <v>122</v>
      </c>
      <c r="C109" s="65">
        <f t="shared" si="1"/>
        <v>0</v>
      </c>
      <c r="D109" s="94"/>
      <c r="E109" s="94"/>
      <c r="F109" s="94"/>
    </row>
    <row r="110" spans="1:6" ht="51" hidden="1" customHeight="1" x14ac:dyDescent="0.25">
      <c r="A110" s="89">
        <v>41051000</v>
      </c>
      <c r="B110" s="113" t="s">
        <v>106</v>
      </c>
      <c r="C110" s="114">
        <f t="shared" si="1"/>
        <v>0</v>
      </c>
      <c r="D110" s="115"/>
      <c r="E110" s="114"/>
      <c r="F110" s="114"/>
    </row>
    <row r="111" spans="1:6" ht="52.5" hidden="1" customHeight="1" x14ac:dyDescent="0.25">
      <c r="A111" s="89">
        <v>41051200</v>
      </c>
      <c r="B111" s="113" t="s">
        <v>107</v>
      </c>
      <c r="C111" s="65">
        <f t="shared" si="1"/>
        <v>0</v>
      </c>
      <c r="D111" s="94"/>
      <c r="E111" s="65"/>
      <c r="F111" s="65"/>
    </row>
    <row r="112" spans="1:6" ht="52.5" hidden="1" customHeight="1" x14ac:dyDescent="0.25">
      <c r="A112" s="89">
        <v>41051400</v>
      </c>
      <c r="B112" s="113" t="s">
        <v>123</v>
      </c>
      <c r="C112" s="65">
        <f t="shared" si="1"/>
        <v>0</v>
      </c>
      <c r="D112" s="94"/>
      <c r="E112" s="65"/>
      <c r="F112" s="65"/>
    </row>
    <row r="113" spans="1:6" ht="66" hidden="1" customHeight="1" x14ac:dyDescent="0.25">
      <c r="A113" s="89">
        <v>41052600</v>
      </c>
      <c r="B113" s="113" t="s">
        <v>124</v>
      </c>
      <c r="C113" s="65">
        <f t="shared" si="1"/>
        <v>0</v>
      </c>
      <c r="D113" s="94"/>
      <c r="E113" s="65"/>
      <c r="F113" s="65"/>
    </row>
    <row r="114" spans="1:6" ht="35.25" hidden="1" customHeight="1" x14ac:dyDescent="0.25">
      <c r="A114" s="89">
        <v>41053900</v>
      </c>
      <c r="B114" s="113" t="s">
        <v>108</v>
      </c>
      <c r="C114" s="65">
        <f t="shared" si="1"/>
        <v>0</v>
      </c>
      <c r="D114" s="94"/>
      <c r="E114" s="65">
        <v>0</v>
      </c>
      <c r="F114" s="65">
        <v>0</v>
      </c>
    </row>
    <row r="115" spans="1:6" ht="62.25" hidden="1" customHeight="1" x14ac:dyDescent="0.25">
      <c r="A115" s="89">
        <v>41055000</v>
      </c>
      <c r="B115" s="90" t="s">
        <v>125</v>
      </c>
      <c r="C115" s="65">
        <f t="shared" si="1"/>
        <v>0</v>
      </c>
      <c r="D115" s="94"/>
      <c r="E115" s="65"/>
      <c r="F115" s="65"/>
    </row>
    <row r="116" spans="1:6" s="120" customFormat="1" ht="35.1" customHeight="1" x14ac:dyDescent="0.3">
      <c r="A116" s="116"/>
      <c r="B116" s="117" t="s">
        <v>109</v>
      </c>
      <c r="C116" s="118">
        <f>D116+E116</f>
        <v>102500000</v>
      </c>
      <c r="D116" s="119">
        <f>D101+D102</f>
        <v>102500000</v>
      </c>
      <c r="E116" s="119">
        <f>E101+E102</f>
        <v>0</v>
      </c>
      <c r="F116" s="119">
        <f>F101+F102</f>
        <v>0</v>
      </c>
    </row>
    <row r="118" spans="1:6" x14ac:dyDescent="0.25">
      <c r="B118" s="72" t="s">
        <v>727</v>
      </c>
      <c r="C118" s="60"/>
      <c r="D118" s="8"/>
      <c r="E118" s="73" t="s">
        <v>728</v>
      </c>
      <c r="F118" s="73"/>
    </row>
    <row r="119" spans="1:6" ht="20.25" customHeight="1" x14ac:dyDescent="0.25">
      <c r="A119" s="585"/>
      <c r="B119" s="585"/>
      <c r="C119" s="121"/>
    </row>
    <row r="120" spans="1:6" x14ac:dyDescent="0.25">
      <c r="A120" s="8"/>
      <c r="B120" s="586"/>
      <c r="C120" s="586"/>
      <c r="D120" s="8"/>
    </row>
    <row r="122" spans="1:6" x14ac:dyDescent="0.25">
      <c r="E122" s="73"/>
    </row>
  </sheetData>
  <mergeCells count="12">
    <mergeCell ref="A119:B119"/>
    <mergeCell ref="B120:C120"/>
    <mergeCell ref="C1:F1"/>
    <mergeCell ref="A3:F3"/>
    <mergeCell ref="A4:F4"/>
    <mergeCell ref="A5:F5"/>
    <mergeCell ref="A6:F6"/>
    <mergeCell ref="A8:A9"/>
    <mergeCell ref="B8:B9"/>
    <mergeCell ref="C8:C9"/>
    <mergeCell ref="D8:D9"/>
    <mergeCell ref="E8:F8"/>
  </mergeCells>
  <conditionalFormatting sqref="B32:B33">
    <cfRule type="expression" dxfId="0" priority="1" stopIfTrue="1">
      <formula>#REF!=1</formula>
    </cfRule>
  </conditionalFormatting>
  <printOptions horizontalCentered="1"/>
  <pageMargins left="0.59055118110236227" right="0.51181102362204722" top="0.74803149606299213" bottom="0.35433070866141736" header="0.31496062992125984" footer="0.31496062992125984"/>
  <pageSetup paperSize="9" scale="5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128"/>
  <sheetViews>
    <sheetView view="pageBreakPreview" zoomScale="70" zoomScaleNormal="70" zoomScaleSheetLayoutView="70" workbookViewId="0">
      <selection activeCell="D49" sqref="D49"/>
    </sheetView>
  </sheetViews>
  <sheetFormatPr defaultRowHeight="12.75" x14ac:dyDescent="0.2"/>
  <cols>
    <col min="1" max="1" width="13.28515625" style="396" customWidth="1"/>
    <col min="2" max="2" width="13.7109375" style="396" customWidth="1"/>
    <col min="3" max="3" width="12.28515625" style="396" customWidth="1"/>
    <col min="4" max="4" width="40.7109375" style="396" customWidth="1"/>
    <col min="5" max="5" width="18.85546875" style="396" customWidth="1"/>
    <col min="6" max="6" width="19.5703125" style="396" customWidth="1"/>
    <col min="7" max="7" width="16.42578125" style="396" customWidth="1"/>
    <col min="8" max="8" width="16" style="396" customWidth="1"/>
    <col min="9" max="9" width="17.5703125" style="396" customWidth="1"/>
    <col min="10" max="10" width="18" style="396" customWidth="1"/>
    <col min="11" max="11" width="18.85546875" style="396" customWidth="1"/>
    <col min="12" max="12" width="19.28515625" style="396" customWidth="1"/>
    <col min="13" max="13" width="17" style="396" customWidth="1"/>
    <col min="14" max="14" width="18" style="396" customWidth="1"/>
    <col min="15" max="15" width="20.140625" style="396" customWidth="1"/>
    <col min="16" max="16" width="20" style="396" customWidth="1"/>
    <col min="17" max="17" width="9.140625" style="396"/>
    <col min="18" max="18" width="20.5703125" style="396" customWidth="1"/>
    <col min="19" max="19" width="11.140625" style="396" bestFit="1" customWidth="1"/>
    <col min="20" max="256" width="9.140625" style="396"/>
    <col min="257" max="257" width="13.28515625" style="396" customWidth="1"/>
    <col min="258" max="258" width="13.7109375" style="396" customWidth="1"/>
    <col min="259" max="259" width="12.28515625" style="396" customWidth="1"/>
    <col min="260" max="260" width="40.7109375" style="396" customWidth="1"/>
    <col min="261" max="261" width="17.140625" style="396" customWidth="1"/>
    <col min="262" max="262" width="17.42578125" style="396" customWidth="1"/>
    <col min="263" max="263" width="16.42578125" style="396" customWidth="1"/>
    <col min="264" max="264" width="16" style="396" customWidth="1"/>
    <col min="265" max="265" width="15.140625" style="396" customWidth="1"/>
    <col min="266" max="266" width="16.28515625" style="396" customWidth="1"/>
    <col min="267" max="267" width="17.42578125" style="396" customWidth="1"/>
    <col min="268" max="268" width="17.85546875" style="396" customWidth="1"/>
    <col min="269" max="269" width="15.140625" style="396" customWidth="1"/>
    <col min="270" max="270" width="16.5703125" style="396" customWidth="1"/>
    <col min="271" max="271" width="17.5703125" style="396" customWidth="1"/>
    <col min="272" max="272" width="16.42578125" style="396" customWidth="1"/>
    <col min="273" max="274" width="9.140625" style="396"/>
    <col min="275" max="275" width="11.140625" style="396" bestFit="1" customWidth="1"/>
    <col min="276" max="512" width="9.140625" style="396"/>
    <col min="513" max="513" width="13.28515625" style="396" customWidth="1"/>
    <col min="514" max="514" width="13.7109375" style="396" customWidth="1"/>
    <col min="515" max="515" width="12.28515625" style="396" customWidth="1"/>
    <col min="516" max="516" width="40.7109375" style="396" customWidth="1"/>
    <col min="517" max="517" width="17.140625" style="396" customWidth="1"/>
    <col min="518" max="518" width="17.42578125" style="396" customWidth="1"/>
    <col min="519" max="519" width="16.42578125" style="396" customWidth="1"/>
    <col min="520" max="520" width="16" style="396" customWidth="1"/>
    <col min="521" max="521" width="15.140625" style="396" customWidth="1"/>
    <col min="522" max="522" width="16.28515625" style="396" customWidth="1"/>
    <col min="523" max="523" width="17.42578125" style="396" customWidth="1"/>
    <col min="524" max="524" width="17.85546875" style="396" customWidth="1"/>
    <col min="525" max="525" width="15.140625" style="396" customWidth="1"/>
    <col min="526" max="526" width="16.5703125" style="396" customWidth="1"/>
    <col min="527" max="527" width="17.5703125" style="396" customWidth="1"/>
    <col min="528" max="528" width="16.42578125" style="396" customWidth="1"/>
    <col min="529" max="530" width="9.140625" style="396"/>
    <col min="531" max="531" width="11.140625" style="396" bestFit="1" customWidth="1"/>
    <col min="532" max="768" width="9.140625" style="396"/>
    <col min="769" max="769" width="13.28515625" style="396" customWidth="1"/>
    <col min="770" max="770" width="13.7109375" style="396" customWidth="1"/>
    <col min="771" max="771" width="12.28515625" style="396" customWidth="1"/>
    <col min="772" max="772" width="40.7109375" style="396" customWidth="1"/>
    <col min="773" max="773" width="17.140625" style="396" customWidth="1"/>
    <col min="774" max="774" width="17.42578125" style="396" customWidth="1"/>
    <col min="775" max="775" width="16.42578125" style="396" customWidth="1"/>
    <col min="776" max="776" width="16" style="396" customWidth="1"/>
    <col min="777" max="777" width="15.140625" style="396" customWidth="1"/>
    <col min="778" max="778" width="16.28515625" style="396" customWidth="1"/>
    <col min="779" max="779" width="17.42578125" style="396" customWidth="1"/>
    <col min="780" max="780" width="17.85546875" style="396" customWidth="1"/>
    <col min="781" max="781" width="15.140625" style="396" customWidth="1"/>
    <col min="782" max="782" width="16.5703125" style="396" customWidth="1"/>
    <col min="783" max="783" width="17.5703125" style="396" customWidth="1"/>
    <col min="784" max="784" width="16.42578125" style="396" customWidth="1"/>
    <col min="785" max="786" width="9.140625" style="396"/>
    <col min="787" max="787" width="11.140625" style="396" bestFit="1" customWidth="1"/>
    <col min="788" max="1024" width="9.140625" style="396"/>
    <col min="1025" max="1025" width="13.28515625" style="396" customWidth="1"/>
    <col min="1026" max="1026" width="13.7109375" style="396" customWidth="1"/>
    <col min="1027" max="1027" width="12.28515625" style="396" customWidth="1"/>
    <col min="1028" max="1028" width="40.7109375" style="396" customWidth="1"/>
    <col min="1029" max="1029" width="17.140625" style="396" customWidth="1"/>
    <col min="1030" max="1030" width="17.42578125" style="396" customWidth="1"/>
    <col min="1031" max="1031" width="16.42578125" style="396" customWidth="1"/>
    <col min="1032" max="1032" width="16" style="396" customWidth="1"/>
    <col min="1033" max="1033" width="15.140625" style="396" customWidth="1"/>
    <col min="1034" max="1034" width="16.28515625" style="396" customWidth="1"/>
    <col min="1035" max="1035" width="17.42578125" style="396" customWidth="1"/>
    <col min="1036" max="1036" width="17.85546875" style="396" customWidth="1"/>
    <col min="1037" max="1037" width="15.140625" style="396" customWidth="1"/>
    <col min="1038" max="1038" width="16.5703125" style="396" customWidth="1"/>
    <col min="1039" max="1039" width="17.5703125" style="396" customWidth="1"/>
    <col min="1040" max="1040" width="16.42578125" style="396" customWidth="1"/>
    <col min="1041" max="1042" width="9.140625" style="396"/>
    <col min="1043" max="1043" width="11.140625" style="396" bestFit="1" customWidth="1"/>
    <col min="1044" max="1280" width="9.140625" style="396"/>
    <col min="1281" max="1281" width="13.28515625" style="396" customWidth="1"/>
    <col min="1282" max="1282" width="13.7109375" style="396" customWidth="1"/>
    <col min="1283" max="1283" width="12.28515625" style="396" customWidth="1"/>
    <col min="1284" max="1284" width="40.7109375" style="396" customWidth="1"/>
    <col min="1285" max="1285" width="17.140625" style="396" customWidth="1"/>
    <col min="1286" max="1286" width="17.42578125" style="396" customWidth="1"/>
    <col min="1287" max="1287" width="16.42578125" style="396" customWidth="1"/>
    <col min="1288" max="1288" width="16" style="396" customWidth="1"/>
    <col min="1289" max="1289" width="15.140625" style="396" customWidth="1"/>
    <col min="1290" max="1290" width="16.28515625" style="396" customWidth="1"/>
    <col min="1291" max="1291" width="17.42578125" style="396" customWidth="1"/>
    <col min="1292" max="1292" width="17.85546875" style="396" customWidth="1"/>
    <col min="1293" max="1293" width="15.140625" style="396" customWidth="1"/>
    <col min="1294" max="1294" width="16.5703125" style="396" customWidth="1"/>
    <col min="1295" max="1295" width="17.5703125" style="396" customWidth="1"/>
    <col min="1296" max="1296" width="16.42578125" style="396" customWidth="1"/>
    <col min="1297" max="1298" width="9.140625" style="396"/>
    <col min="1299" max="1299" width="11.140625" style="396" bestFit="1" customWidth="1"/>
    <col min="1300" max="1536" width="9.140625" style="396"/>
    <col min="1537" max="1537" width="13.28515625" style="396" customWidth="1"/>
    <col min="1538" max="1538" width="13.7109375" style="396" customWidth="1"/>
    <col min="1539" max="1539" width="12.28515625" style="396" customWidth="1"/>
    <col min="1540" max="1540" width="40.7109375" style="396" customWidth="1"/>
    <col min="1541" max="1541" width="17.140625" style="396" customWidth="1"/>
    <col min="1542" max="1542" width="17.42578125" style="396" customWidth="1"/>
    <col min="1543" max="1543" width="16.42578125" style="396" customWidth="1"/>
    <col min="1544" max="1544" width="16" style="396" customWidth="1"/>
    <col min="1545" max="1545" width="15.140625" style="396" customWidth="1"/>
    <col min="1546" max="1546" width="16.28515625" style="396" customWidth="1"/>
    <col min="1547" max="1547" width="17.42578125" style="396" customWidth="1"/>
    <col min="1548" max="1548" width="17.85546875" style="396" customWidth="1"/>
    <col min="1549" max="1549" width="15.140625" style="396" customWidth="1"/>
    <col min="1550" max="1550" width="16.5703125" style="396" customWidth="1"/>
    <col min="1551" max="1551" width="17.5703125" style="396" customWidth="1"/>
    <col min="1552" max="1552" width="16.42578125" style="396" customWidth="1"/>
    <col min="1553" max="1554" width="9.140625" style="396"/>
    <col min="1555" max="1555" width="11.140625" style="396" bestFit="1" customWidth="1"/>
    <col min="1556" max="1792" width="9.140625" style="396"/>
    <col min="1793" max="1793" width="13.28515625" style="396" customWidth="1"/>
    <col min="1794" max="1794" width="13.7109375" style="396" customWidth="1"/>
    <col min="1795" max="1795" width="12.28515625" style="396" customWidth="1"/>
    <col min="1796" max="1796" width="40.7109375" style="396" customWidth="1"/>
    <col min="1797" max="1797" width="17.140625" style="396" customWidth="1"/>
    <col min="1798" max="1798" width="17.42578125" style="396" customWidth="1"/>
    <col min="1799" max="1799" width="16.42578125" style="396" customWidth="1"/>
    <col min="1800" max="1800" width="16" style="396" customWidth="1"/>
    <col min="1801" max="1801" width="15.140625" style="396" customWidth="1"/>
    <col min="1802" max="1802" width="16.28515625" style="396" customWidth="1"/>
    <col min="1803" max="1803" width="17.42578125" style="396" customWidth="1"/>
    <col min="1804" max="1804" width="17.85546875" style="396" customWidth="1"/>
    <col min="1805" max="1805" width="15.140625" style="396" customWidth="1"/>
    <col min="1806" max="1806" width="16.5703125" style="396" customWidth="1"/>
    <col min="1807" max="1807" width="17.5703125" style="396" customWidth="1"/>
    <col min="1808" max="1808" width="16.42578125" style="396" customWidth="1"/>
    <col min="1809" max="1810" width="9.140625" style="396"/>
    <col min="1811" max="1811" width="11.140625" style="396" bestFit="1" customWidth="1"/>
    <col min="1812" max="2048" width="9.140625" style="396"/>
    <col min="2049" max="2049" width="13.28515625" style="396" customWidth="1"/>
    <col min="2050" max="2050" width="13.7109375" style="396" customWidth="1"/>
    <col min="2051" max="2051" width="12.28515625" style="396" customWidth="1"/>
    <col min="2052" max="2052" width="40.7109375" style="396" customWidth="1"/>
    <col min="2053" max="2053" width="17.140625" style="396" customWidth="1"/>
    <col min="2054" max="2054" width="17.42578125" style="396" customWidth="1"/>
    <col min="2055" max="2055" width="16.42578125" style="396" customWidth="1"/>
    <col min="2056" max="2056" width="16" style="396" customWidth="1"/>
    <col min="2057" max="2057" width="15.140625" style="396" customWidth="1"/>
    <col min="2058" max="2058" width="16.28515625" style="396" customWidth="1"/>
    <col min="2059" max="2059" width="17.42578125" style="396" customWidth="1"/>
    <col min="2060" max="2060" width="17.85546875" style="396" customWidth="1"/>
    <col min="2061" max="2061" width="15.140625" style="396" customWidth="1"/>
    <col min="2062" max="2062" width="16.5703125" style="396" customWidth="1"/>
    <col min="2063" max="2063" width="17.5703125" style="396" customWidth="1"/>
    <col min="2064" max="2064" width="16.42578125" style="396" customWidth="1"/>
    <col min="2065" max="2066" width="9.140625" style="396"/>
    <col min="2067" max="2067" width="11.140625" style="396" bestFit="1" customWidth="1"/>
    <col min="2068" max="2304" width="9.140625" style="396"/>
    <col min="2305" max="2305" width="13.28515625" style="396" customWidth="1"/>
    <col min="2306" max="2306" width="13.7109375" style="396" customWidth="1"/>
    <col min="2307" max="2307" width="12.28515625" style="396" customWidth="1"/>
    <col min="2308" max="2308" width="40.7109375" style="396" customWidth="1"/>
    <col min="2309" max="2309" width="17.140625" style="396" customWidth="1"/>
    <col min="2310" max="2310" width="17.42578125" style="396" customWidth="1"/>
    <col min="2311" max="2311" width="16.42578125" style="396" customWidth="1"/>
    <col min="2312" max="2312" width="16" style="396" customWidth="1"/>
    <col min="2313" max="2313" width="15.140625" style="396" customWidth="1"/>
    <col min="2314" max="2314" width="16.28515625" style="396" customWidth="1"/>
    <col min="2315" max="2315" width="17.42578125" style="396" customWidth="1"/>
    <col min="2316" max="2316" width="17.85546875" style="396" customWidth="1"/>
    <col min="2317" max="2317" width="15.140625" style="396" customWidth="1"/>
    <col min="2318" max="2318" width="16.5703125" style="396" customWidth="1"/>
    <col min="2319" max="2319" width="17.5703125" style="396" customWidth="1"/>
    <col min="2320" max="2320" width="16.42578125" style="396" customWidth="1"/>
    <col min="2321" max="2322" width="9.140625" style="396"/>
    <col min="2323" max="2323" width="11.140625" style="396" bestFit="1" customWidth="1"/>
    <col min="2324" max="2560" width="9.140625" style="396"/>
    <col min="2561" max="2561" width="13.28515625" style="396" customWidth="1"/>
    <col min="2562" max="2562" width="13.7109375" style="396" customWidth="1"/>
    <col min="2563" max="2563" width="12.28515625" style="396" customWidth="1"/>
    <col min="2564" max="2564" width="40.7109375" style="396" customWidth="1"/>
    <col min="2565" max="2565" width="17.140625" style="396" customWidth="1"/>
    <col min="2566" max="2566" width="17.42578125" style="396" customWidth="1"/>
    <col min="2567" max="2567" width="16.42578125" style="396" customWidth="1"/>
    <col min="2568" max="2568" width="16" style="396" customWidth="1"/>
    <col min="2569" max="2569" width="15.140625" style="396" customWidth="1"/>
    <col min="2570" max="2570" width="16.28515625" style="396" customWidth="1"/>
    <col min="2571" max="2571" width="17.42578125" style="396" customWidth="1"/>
    <col min="2572" max="2572" width="17.85546875" style="396" customWidth="1"/>
    <col min="2573" max="2573" width="15.140625" style="396" customWidth="1"/>
    <col min="2574" max="2574" width="16.5703125" style="396" customWidth="1"/>
    <col min="2575" max="2575" width="17.5703125" style="396" customWidth="1"/>
    <col min="2576" max="2576" width="16.42578125" style="396" customWidth="1"/>
    <col min="2577" max="2578" width="9.140625" style="396"/>
    <col min="2579" max="2579" width="11.140625" style="396" bestFit="1" customWidth="1"/>
    <col min="2580" max="2816" width="9.140625" style="396"/>
    <col min="2817" max="2817" width="13.28515625" style="396" customWidth="1"/>
    <col min="2818" max="2818" width="13.7109375" style="396" customWidth="1"/>
    <col min="2819" max="2819" width="12.28515625" style="396" customWidth="1"/>
    <col min="2820" max="2820" width="40.7109375" style="396" customWidth="1"/>
    <col min="2821" max="2821" width="17.140625" style="396" customWidth="1"/>
    <col min="2822" max="2822" width="17.42578125" style="396" customWidth="1"/>
    <col min="2823" max="2823" width="16.42578125" style="396" customWidth="1"/>
    <col min="2824" max="2824" width="16" style="396" customWidth="1"/>
    <col min="2825" max="2825" width="15.140625" style="396" customWidth="1"/>
    <col min="2826" max="2826" width="16.28515625" style="396" customWidth="1"/>
    <col min="2827" max="2827" width="17.42578125" style="396" customWidth="1"/>
    <col min="2828" max="2828" width="17.85546875" style="396" customWidth="1"/>
    <col min="2829" max="2829" width="15.140625" style="396" customWidth="1"/>
    <col min="2830" max="2830" width="16.5703125" style="396" customWidth="1"/>
    <col min="2831" max="2831" width="17.5703125" style="396" customWidth="1"/>
    <col min="2832" max="2832" width="16.42578125" style="396" customWidth="1"/>
    <col min="2833" max="2834" width="9.140625" style="396"/>
    <col min="2835" max="2835" width="11.140625" style="396" bestFit="1" customWidth="1"/>
    <col min="2836" max="3072" width="9.140625" style="396"/>
    <col min="3073" max="3073" width="13.28515625" style="396" customWidth="1"/>
    <col min="3074" max="3074" width="13.7109375" style="396" customWidth="1"/>
    <col min="3075" max="3075" width="12.28515625" style="396" customWidth="1"/>
    <col min="3076" max="3076" width="40.7109375" style="396" customWidth="1"/>
    <col min="3077" max="3077" width="17.140625" style="396" customWidth="1"/>
    <col min="3078" max="3078" width="17.42578125" style="396" customWidth="1"/>
    <col min="3079" max="3079" width="16.42578125" style="396" customWidth="1"/>
    <col min="3080" max="3080" width="16" style="396" customWidth="1"/>
    <col min="3081" max="3081" width="15.140625" style="396" customWidth="1"/>
    <col min="3082" max="3082" width="16.28515625" style="396" customWidth="1"/>
    <col min="3083" max="3083" width="17.42578125" style="396" customWidth="1"/>
    <col min="3084" max="3084" width="17.85546875" style="396" customWidth="1"/>
    <col min="3085" max="3085" width="15.140625" style="396" customWidth="1"/>
    <col min="3086" max="3086" width="16.5703125" style="396" customWidth="1"/>
    <col min="3087" max="3087" width="17.5703125" style="396" customWidth="1"/>
    <col min="3088" max="3088" width="16.42578125" style="396" customWidth="1"/>
    <col min="3089" max="3090" width="9.140625" style="396"/>
    <col min="3091" max="3091" width="11.140625" style="396" bestFit="1" customWidth="1"/>
    <col min="3092" max="3328" width="9.140625" style="396"/>
    <col min="3329" max="3329" width="13.28515625" style="396" customWidth="1"/>
    <col min="3330" max="3330" width="13.7109375" style="396" customWidth="1"/>
    <col min="3331" max="3331" width="12.28515625" style="396" customWidth="1"/>
    <col min="3332" max="3332" width="40.7109375" style="396" customWidth="1"/>
    <col min="3333" max="3333" width="17.140625" style="396" customWidth="1"/>
    <col min="3334" max="3334" width="17.42578125" style="396" customWidth="1"/>
    <col min="3335" max="3335" width="16.42578125" style="396" customWidth="1"/>
    <col min="3336" max="3336" width="16" style="396" customWidth="1"/>
    <col min="3337" max="3337" width="15.140625" style="396" customWidth="1"/>
    <col min="3338" max="3338" width="16.28515625" style="396" customWidth="1"/>
    <col min="3339" max="3339" width="17.42578125" style="396" customWidth="1"/>
    <col min="3340" max="3340" width="17.85546875" style="396" customWidth="1"/>
    <col min="3341" max="3341" width="15.140625" style="396" customWidth="1"/>
    <col min="3342" max="3342" width="16.5703125" style="396" customWidth="1"/>
    <col min="3343" max="3343" width="17.5703125" style="396" customWidth="1"/>
    <col min="3344" max="3344" width="16.42578125" style="396" customWidth="1"/>
    <col min="3345" max="3346" width="9.140625" style="396"/>
    <col min="3347" max="3347" width="11.140625" style="396" bestFit="1" customWidth="1"/>
    <col min="3348" max="3584" width="9.140625" style="396"/>
    <col min="3585" max="3585" width="13.28515625" style="396" customWidth="1"/>
    <col min="3586" max="3586" width="13.7109375" style="396" customWidth="1"/>
    <col min="3587" max="3587" width="12.28515625" style="396" customWidth="1"/>
    <col min="3588" max="3588" width="40.7109375" style="396" customWidth="1"/>
    <col min="3589" max="3589" width="17.140625" style="396" customWidth="1"/>
    <col min="3590" max="3590" width="17.42578125" style="396" customWidth="1"/>
    <col min="3591" max="3591" width="16.42578125" style="396" customWidth="1"/>
    <col min="3592" max="3592" width="16" style="396" customWidth="1"/>
    <col min="3593" max="3593" width="15.140625" style="396" customWidth="1"/>
    <col min="3594" max="3594" width="16.28515625" style="396" customWidth="1"/>
    <col min="3595" max="3595" width="17.42578125" style="396" customWidth="1"/>
    <col min="3596" max="3596" width="17.85546875" style="396" customWidth="1"/>
    <col min="3597" max="3597" width="15.140625" style="396" customWidth="1"/>
    <col min="3598" max="3598" width="16.5703125" style="396" customWidth="1"/>
    <col min="3599" max="3599" width="17.5703125" style="396" customWidth="1"/>
    <col min="3600" max="3600" width="16.42578125" style="396" customWidth="1"/>
    <col min="3601" max="3602" width="9.140625" style="396"/>
    <col min="3603" max="3603" width="11.140625" style="396" bestFit="1" customWidth="1"/>
    <col min="3604" max="3840" width="9.140625" style="396"/>
    <col min="3841" max="3841" width="13.28515625" style="396" customWidth="1"/>
    <col min="3842" max="3842" width="13.7109375" style="396" customWidth="1"/>
    <col min="3843" max="3843" width="12.28515625" style="396" customWidth="1"/>
    <col min="3844" max="3844" width="40.7109375" style="396" customWidth="1"/>
    <col min="3845" max="3845" width="17.140625" style="396" customWidth="1"/>
    <col min="3846" max="3846" width="17.42578125" style="396" customWidth="1"/>
    <col min="3847" max="3847" width="16.42578125" style="396" customWidth="1"/>
    <col min="3848" max="3848" width="16" style="396" customWidth="1"/>
    <col min="3849" max="3849" width="15.140625" style="396" customWidth="1"/>
    <col min="3850" max="3850" width="16.28515625" style="396" customWidth="1"/>
    <col min="3851" max="3851" width="17.42578125" style="396" customWidth="1"/>
    <col min="3852" max="3852" width="17.85546875" style="396" customWidth="1"/>
    <col min="3853" max="3853" width="15.140625" style="396" customWidth="1"/>
    <col min="3854" max="3854" width="16.5703125" style="396" customWidth="1"/>
    <col min="3855" max="3855" width="17.5703125" style="396" customWidth="1"/>
    <col min="3856" max="3856" width="16.42578125" style="396" customWidth="1"/>
    <col min="3857" max="3858" width="9.140625" style="396"/>
    <col min="3859" max="3859" width="11.140625" style="396" bestFit="1" customWidth="1"/>
    <col min="3860" max="4096" width="9.140625" style="396"/>
    <col min="4097" max="4097" width="13.28515625" style="396" customWidth="1"/>
    <col min="4098" max="4098" width="13.7109375" style="396" customWidth="1"/>
    <col min="4099" max="4099" width="12.28515625" style="396" customWidth="1"/>
    <col min="4100" max="4100" width="40.7109375" style="396" customWidth="1"/>
    <col min="4101" max="4101" width="17.140625" style="396" customWidth="1"/>
    <col min="4102" max="4102" width="17.42578125" style="396" customWidth="1"/>
    <col min="4103" max="4103" width="16.42578125" style="396" customWidth="1"/>
    <col min="4104" max="4104" width="16" style="396" customWidth="1"/>
    <col min="4105" max="4105" width="15.140625" style="396" customWidth="1"/>
    <col min="4106" max="4106" width="16.28515625" style="396" customWidth="1"/>
    <col min="4107" max="4107" width="17.42578125" style="396" customWidth="1"/>
    <col min="4108" max="4108" width="17.85546875" style="396" customWidth="1"/>
    <col min="4109" max="4109" width="15.140625" style="396" customWidth="1"/>
    <col min="4110" max="4110" width="16.5703125" style="396" customWidth="1"/>
    <col min="4111" max="4111" width="17.5703125" style="396" customWidth="1"/>
    <col min="4112" max="4112" width="16.42578125" style="396" customWidth="1"/>
    <col min="4113" max="4114" width="9.140625" style="396"/>
    <col min="4115" max="4115" width="11.140625" style="396" bestFit="1" customWidth="1"/>
    <col min="4116" max="4352" width="9.140625" style="396"/>
    <col min="4353" max="4353" width="13.28515625" style="396" customWidth="1"/>
    <col min="4354" max="4354" width="13.7109375" style="396" customWidth="1"/>
    <col min="4355" max="4355" width="12.28515625" style="396" customWidth="1"/>
    <col min="4356" max="4356" width="40.7109375" style="396" customWidth="1"/>
    <col min="4357" max="4357" width="17.140625" style="396" customWidth="1"/>
    <col min="4358" max="4358" width="17.42578125" style="396" customWidth="1"/>
    <col min="4359" max="4359" width="16.42578125" style="396" customWidth="1"/>
    <col min="4360" max="4360" width="16" style="396" customWidth="1"/>
    <col min="4361" max="4361" width="15.140625" style="396" customWidth="1"/>
    <col min="4362" max="4362" width="16.28515625" style="396" customWidth="1"/>
    <col min="4363" max="4363" width="17.42578125" style="396" customWidth="1"/>
    <col min="4364" max="4364" width="17.85546875" style="396" customWidth="1"/>
    <col min="4365" max="4365" width="15.140625" style="396" customWidth="1"/>
    <col min="4366" max="4366" width="16.5703125" style="396" customWidth="1"/>
    <col min="4367" max="4367" width="17.5703125" style="396" customWidth="1"/>
    <col min="4368" max="4368" width="16.42578125" style="396" customWidth="1"/>
    <col min="4369" max="4370" width="9.140625" style="396"/>
    <col min="4371" max="4371" width="11.140625" style="396" bestFit="1" customWidth="1"/>
    <col min="4372" max="4608" width="9.140625" style="396"/>
    <col min="4609" max="4609" width="13.28515625" style="396" customWidth="1"/>
    <col min="4610" max="4610" width="13.7109375" style="396" customWidth="1"/>
    <col min="4611" max="4611" width="12.28515625" style="396" customWidth="1"/>
    <col min="4612" max="4612" width="40.7109375" style="396" customWidth="1"/>
    <col min="4613" max="4613" width="17.140625" style="396" customWidth="1"/>
    <col min="4614" max="4614" width="17.42578125" style="396" customWidth="1"/>
    <col min="4615" max="4615" width="16.42578125" style="396" customWidth="1"/>
    <col min="4616" max="4616" width="16" style="396" customWidth="1"/>
    <col min="4617" max="4617" width="15.140625" style="396" customWidth="1"/>
    <col min="4618" max="4618" width="16.28515625" style="396" customWidth="1"/>
    <col min="4619" max="4619" width="17.42578125" style="396" customWidth="1"/>
    <col min="4620" max="4620" width="17.85546875" style="396" customWidth="1"/>
    <col min="4621" max="4621" width="15.140625" style="396" customWidth="1"/>
    <col min="4622" max="4622" width="16.5703125" style="396" customWidth="1"/>
    <col min="4623" max="4623" width="17.5703125" style="396" customWidth="1"/>
    <col min="4624" max="4624" width="16.42578125" style="396" customWidth="1"/>
    <col min="4625" max="4626" width="9.140625" style="396"/>
    <col min="4627" max="4627" width="11.140625" style="396" bestFit="1" customWidth="1"/>
    <col min="4628" max="4864" width="9.140625" style="396"/>
    <col min="4865" max="4865" width="13.28515625" style="396" customWidth="1"/>
    <col min="4866" max="4866" width="13.7109375" style="396" customWidth="1"/>
    <col min="4867" max="4867" width="12.28515625" style="396" customWidth="1"/>
    <col min="4868" max="4868" width="40.7109375" style="396" customWidth="1"/>
    <col min="4869" max="4869" width="17.140625" style="396" customWidth="1"/>
    <col min="4870" max="4870" width="17.42578125" style="396" customWidth="1"/>
    <col min="4871" max="4871" width="16.42578125" style="396" customWidth="1"/>
    <col min="4872" max="4872" width="16" style="396" customWidth="1"/>
    <col min="4873" max="4873" width="15.140625" style="396" customWidth="1"/>
    <col min="4874" max="4874" width="16.28515625" style="396" customWidth="1"/>
    <col min="4875" max="4875" width="17.42578125" style="396" customWidth="1"/>
    <col min="4876" max="4876" width="17.85546875" style="396" customWidth="1"/>
    <col min="4877" max="4877" width="15.140625" style="396" customWidth="1"/>
    <col min="4878" max="4878" width="16.5703125" style="396" customWidth="1"/>
    <col min="4879" max="4879" width="17.5703125" style="396" customWidth="1"/>
    <col min="4880" max="4880" width="16.42578125" style="396" customWidth="1"/>
    <col min="4881" max="4882" width="9.140625" style="396"/>
    <col min="4883" max="4883" width="11.140625" style="396" bestFit="1" customWidth="1"/>
    <col min="4884" max="5120" width="9.140625" style="396"/>
    <col min="5121" max="5121" width="13.28515625" style="396" customWidth="1"/>
    <col min="5122" max="5122" width="13.7109375" style="396" customWidth="1"/>
    <col min="5123" max="5123" width="12.28515625" style="396" customWidth="1"/>
    <col min="5124" max="5124" width="40.7109375" style="396" customWidth="1"/>
    <col min="5125" max="5125" width="17.140625" style="396" customWidth="1"/>
    <col min="5126" max="5126" width="17.42578125" style="396" customWidth="1"/>
    <col min="5127" max="5127" width="16.42578125" style="396" customWidth="1"/>
    <col min="5128" max="5128" width="16" style="396" customWidth="1"/>
    <col min="5129" max="5129" width="15.140625" style="396" customWidth="1"/>
    <col min="5130" max="5130" width="16.28515625" style="396" customWidth="1"/>
    <col min="5131" max="5131" width="17.42578125" style="396" customWidth="1"/>
    <col min="5132" max="5132" width="17.85546875" style="396" customWidth="1"/>
    <col min="5133" max="5133" width="15.140625" style="396" customWidth="1"/>
    <col min="5134" max="5134" width="16.5703125" style="396" customWidth="1"/>
    <col min="5135" max="5135" width="17.5703125" style="396" customWidth="1"/>
    <col min="5136" max="5136" width="16.42578125" style="396" customWidth="1"/>
    <col min="5137" max="5138" width="9.140625" style="396"/>
    <col min="5139" max="5139" width="11.140625" style="396" bestFit="1" customWidth="1"/>
    <col min="5140" max="5376" width="9.140625" style="396"/>
    <col min="5377" max="5377" width="13.28515625" style="396" customWidth="1"/>
    <col min="5378" max="5378" width="13.7109375" style="396" customWidth="1"/>
    <col min="5379" max="5379" width="12.28515625" style="396" customWidth="1"/>
    <col min="5380" max="5380" width="40.7109375" style="396" customWidth="1"/>
    <col min="5381" max="5381" width="17.140625" style="396" customWidth="1"/>
    <col min="5382" max="5382" width="17.42578125" style="396" customWidth="1"/>
    <col min="5383" max="5383" width="16.42578125" style="396" customWidth="1"/>
    <col min="5384" max="5384" width="16" style="396" customWidth="1"/>
    <col min="5385" max="5385" width="15.140625" style="396" customWidth="1"/>
    <col min="5386" max="5386" width="16.28515625" style="396" customWidth="1"/>
    <col min="5387" max="5387" width="17.42578125" style="396" customWidth="1"/>
    <col min="5388" max="5388" width="17.85546875" style="396" customWidth="1"/>
    <col min="5389" max="5389" width="15.140625" style="396" customWidth="1"/>
    <col min="5390" max="5390" width="16.5703125" style="396" customWidth="1"/>
    <col min="5391" max="5391" width="17.5703125" style="396" customWidth="1"/>
    <col min="5392" max="5392" width="16.42578125" style="396" customWidth="1"/>
    <col min="5393" max="5394" width="9.140625" style="396"/>
    <col min="5395" max="5395" width="11.140625" style="396" bestFit="1" customWidth="1"/>
    <col min="5396" max="5632" width="9.140625" style="396"/>
    <col min="5633" max="5633" width="13.28515625" style="396" customWidth="1"/>
    <col min="5634" max="5634" width="13.7109375" style="396" customWidth="1"/>
    <col min="5635" max="5635" width="12.28515625" style="396" customWidth="1"/>
    <col min="5636" max="5636" width="40.7109375" style="396" customWidth="1"/>
    <col min="5637" max="5637" width="17.140625" style="396" customWidth="1"/>
    <col min="5638" max="5638" width="17.42578125" style="396" customWidth="1"/>
    <col min="5639" max="5639" width="16.42578125" style="396" customWidth="1"/>
    <col min="5640" max="5640" width="16" style="396" customWidth="1"/>
    <col min="5641" max="5641" width="15.140625" style="396" customWidth="1"/>
    <col min="5642" max="5642" width="16.28515625" style="396" customWidth="1"/>
    <col min="5643" max="5643" width="17.42578125" style="396" customWidth="1"/>
    <col min="5644" max="5644" width="17.85546875" style="396" customWidth="1"/>
    <col min="5645" max="5645" width="15.140625" style="396" customWidth="1"/>
    <col min="5646" max="5646" width="16.5703125" style="396" customWidth="1"/>
    <col min="5647" max="5647" width="17.5703125" style="396" customWidth="1"/>
    <col min="5648" max="5648" width="16.42578125" style="396" customWidth="1"/>
    <col min="5649" max="5650" width="9.140625" style="396"/>
    <col min="5651" max="5651" width="11.140625" style="396" bestFit="1" customWidth="1"/>
    <col min="5652" max="5888" width="9.140625" style="396"/>
    <col min="5889" max="5889" width="13.28515625" style="396" customWidth="1"/>
    <col min="5890" max="5890" width="13.7109375" style="396" customWidth="1"/>
    <col min="5891" max="5891" width="12.28515625" style="396" customWidth="1"/>
    <col min="5892" max="5892" width="40.7109375" style="396" customWidth="1"/>
    <col min="5893" max="5893" width="17.140625" style="396" customWidth="1"/>
    <col min="5894" max="5894" width="17.42578125" style="396" customWidth="1"/>
    <col min="5895" max="5895" width="16.42578125" style="396" customWidth="1"/>
    <col min="5896" max="5896" width="16" style="396" customWidth="1"/>
    <col min="5897" max="5897" width="15.140625" style="396" customWidth="1"/>
    <col min="5898" max="5898" width="16.28515625" style="396" customWidth="1"/>
    <col min="5899" max="5899" width="17.42578125" style="396" customWidth="1"/>
    <col min="5900" max="5900" width="17.85546875" style="396" customWidth="1"/>
    <col min="5901" max="5901" width="15.140625" style="396" customWidth="1"/>
    <col min="5902" max="5902" width="16.5703125" style="396" customWidth="1"/>
    <col min="5903" max="5903" width="17.5703125" style="396" customWidth="1"/>
    <col min="5904" max="5904" width="16.42578125" style="396" customWidth="1"/>
    <col min="5905" max="5906" width="9.140625" style="396"/>
    <col min="5907" max="5907" width="11.140625" style="396" bestFit="1" customWidth="1"/>
    <col min="5908" max="6144" width="9.140625" style="396"/>
    <col min="6145" max="6145" width="13.28515625" style="396" customWidth="1"/>
    <col min="6146" max="6146" width="13.7109375" style="396" customWidth="1"/>
    <col min="6147" max="6147" width="12.28515625" style="396" customWidth="1"/>
    <col min="6148" max="6148" width="40.7109375" style="396" customWidth="1"/>
    <col min="6149" max="6149" width="17.140625" style="396" customWidth="1"/>
    <col min="6150" max="6150" width="17.42578125" style="396" customWidth="1"/>
    <col min="6151" max="6151" width="16.42578125" style="396" customWidth="1"/>
    <col min="6152" max="6152" width="16" style="396" customWidth="1"/>
    <col min="6153" max="6153" width="15.140625" style="396" customWidth="1"/>
    <col min="6154" max="6154" width="16.28515625" style="396" customWidth="1"/>
    <col min="6155" max="6155" width="17.42578125" style="396" customWidth="1"/>
    <col min="6156" max="6156" width="17.85546875" style="396" customWidth="1"/>
    <col min="6157" max="6157" width="15.140625" style="396" customWidth="1"/>
    <col min="6158" max="6158" width="16.5703125" style="396" customWidth="1"/>
    <col min="6159" max="6159" width="17.5703125" style="396" customWidth="1"/>
    <col min="6160" max="6160" width="16.42578125" style="396" customWidth="1"/>
    <col min="6161" max="6162" width="9.140625" style="396"/>
    <col min="6163" max="6163" width="11.140625" style="396" bestFit="1" customWidth="1"/>
    <col min="6164" max="6400" width="9.140625" style="396"/>
    <col min="6401" max="6401" width="13.28515625" style="396" customWidth="1"/>
    <col min="6402" max="6402" width="13.7109375" style="396" customWidth="1"/>
    <col min="6403" max="6403" width="12.28515625" style="396" customWidth="1"/>
    <col min="6404" max="6404" width="40.7109375" style="396" customWidth="1"/>
    <col min="6405" max="6405" width="17.140625" style="396" customWidth="1"/>
    <col min="6406" max="6406" width="17.42578125" style="396" customWidth="1"/>
    <col min="6407" max="6407" width="16.42578125" style="396" customWidth="1"/>
    <col min="6408" max="6408" width="16" style="396" customWidth="1"/>
    <col min="6409" max="6409" width="15.140625" style="396" customWidth="1"/>
    <col min="6410" max="6410" width="16.28515625" style="396" customWidth="1"/>
    <col min="6411" max="6411" width="17.42578125" style="396" customWidth="1"/>
    <col min="6412" max="6412" width="17.85546875" style="396" customWidth="1"/>
    <col min="6413" max="6413" width="15.140625" style="396" customWidth="1"/>
    <col min="6414" max="6414" width="16.5703125" style="396" customWidth="1"/>
    <col min="6415" max="6415" width="17.5703125" style="396" customWidth="1"/>
    <col min="6416" max="6416" width="16.42578125" style="396" customWidth="1"/>
    <col min="6417" max="6418" width="9.140625" style="396"/>
    <col min="6419" max="6419" width="11.140625" style="396" bestFit="1" customWidth="1"/>
    <col min="6420" max="6656" width="9.140625" style="396"/>
    <col min="6657" max="6657" width="13.28515625" style="396" customWidth="1"/>
    <col min="6658" max="6658" width="13.7109375" style="396" customWidth="1"/>
    <col min="6659" max="6659" width="12.28515625" style="396" customWidth="1"/>
    <col min="6660" max="6660" width="40.7109375" style="396" customWidth="1"/>
    <col min="6661" max="6661" width="17.140625" style="396" customWidth="1"/>
    <col min="6662" max="6662" width="17.42578125" style="396" customWidth="1"/>
    <col min="6663" max="6663" width="16.42578125" style="396" customWidth="1"/>
    <col min="6664" max="6664" width="16" style="396" customWidth="1"/>
    <col min="6665" max="6665" width="15.140625" style="396" customWidth="1"/>
    <col min="6666" max="6666" width="16.28515625" style="396" customWidth="1"/>
    <col min="6667" max="6667" width="17.42578125" style="396" customWidth="1"/>
    <col min="6668" max="6668" width="17.85546875" style="396" customWidth="1"/>
    <col min="6669" max="6669" width="15.140625" style="396" customWidth="1"/>
    <col min="6670" max="6670" width="16.5703125" style="396" customWidth="1"/>
    <col min="6671" max="6671" width="17.5703125" style="396" customWidth="1"/>
    <col min="6672" max="6672" width="16.42578125" style="396" customWidth="1"/>
    <col min="6673" max="6674" width="9.140625" style="396"/>
    <col min="6675" max="6675" width="11.140625" style="396" bestFit="1" customWidth="1"/>
    <col min="6676" max="6912" width="9.140625" style="396"/>
    <col min="6913" max="6913" width="13.28515625" style="396" customWidth="1"/>
    <col min="6914" max="6914" width="13.7109375" style="396" customWidth="1"/>
    <col min="6915" max="6915" width="12.28515625" style="396" customWidth="1"/>
    <col min="6916" max="6916" width="40.7109375" style="396" customWidth="1"/>
    <col min="6917" max="6917" width="17.140625" style="396" customWidth="1"/>
    <col min="6918" max="6918" width="17.42578125" style="396" customWidth="1"/>
    <col min="6919" max="6919" width="16.42578125" style="396" customWidth="1"/>
    <col min="6920" max="6920" width="16" style="396" customWidth="1"/>
    <col min="6921" max="6921" width="15.140625" style="396" customWidth="1"/>
    <col min="6922" max="6922" width="16.28515625" style="396" customWidth="1"/>
    <col min="6923" max="6923" width="17.42578125" style="396" customWidth="1"/>
    <col min="6924" max="6924" width="17.85546875" style="396" customWidth="1"/>
    <col min="6925" max="6925" width="15.140625" style="396" customWidth="1"/>
    <col min="6926" max="6926" width="16.5703125" style="396" customWidth="1"/>
    <col min="6927" max="6927" width="17.5703125" style="396" customWidth="1"/>
    <col min="6928" max="6928" width="16.42578125" style="396" customWidth="1"/>
    <col min="6929" max="6930" width="9.140625" style="396"/>
    <col min="6931" max="6931" width="11.140625" style="396" bestFit="1" customWidth="1"/>
    <col min="6932" max="7168" width="9.140625" style="396"/>
    <col min="7169" max="7169" width="13.28515625" style="396" customWidth="1"/>
    <col min="7170" max="7170" width="13.7109375" style="396" customWidth="1"/>
    <col min="7171" max="7171" width="12.28515625" style="396" customWidth="1"/>
    <col min="7172" max="7172" width="40.7109375" style="396" customWidth="1"/>
    <col min="7173" max="7173" width="17.140625" style="396" customWidth="1"/>
    <col min="7174" max="7174" width="17.42578125" style="396" customWidth="1"/>
    <col min="7175" max="7175" width="16.42578125" style="396" customWidth="1"/>
    <col min="7176" max="7176" width="16" style="396" customWidth="1"/>
    <col min="7177" max="7177" width="15.140625" style="396" customWidth="1"/>
    <col min="7178" max="7178" width="16.28515625" style="396" customWidth="1"/>
    <col min="7179" max="7179" width="17.42578125" style="396" customWidth="1"/>
    <col min="7180" max="7180" width="17.85546875" style="396" customWidth="1"/>
    <col min="7181" max="7181" width="15.140625" style="396" customWidth="1"/>
    <col min="7182" max="7182" width="16.5703125" style="396" customWidth="1"/>
    <col min="7183" max="7183" width="17.5703125" style="396" customWidth="1"/>
    <col min="7184" max="7184" width="16.42578125" style="396" customWidth="1"/>
    <col min="7185" max="7186" width="9.140625" style="396"/>
    <col min="7187" max="7187" width="11.140625" style="396" bestFit="1" customWidth="1"/>
    <col min="7188" max="7424" width="9.140625" style="396"/>
    <col min="7425" max="7425" width="13.28515625" style="396" customWidth="1"/>
    <col min="7426" max="7426" width="13.7109375" style="396" customWidth="1"/>
    <col min="7427" max="7427" width="12.28515625" style="396" customWidth="1"/>
    <col min="7428" max="7428" width="40.7109375" style="396" customWidth="1"/>
    <col min="7429" max="7429" width="17.140625" style="396" customWidth="1"/>
    <col min="7430" max="7430" width="17.42578125" style="396" customWidth="1"/>
    <col min="7431" max="7431" width="16.42578125" style="396" customWidth="1"/>
    <col min="7432" max="7432" width="16" style="396" customWidth="1"/>
    <col min="7433" max="7433" width="15.140625" style="396" customWidth="1"/>
    <col min="7434" max="7434" width="16.28515625" style="396" customWidth="1"/>
    <col min="7435" max="7435" width="17.42578125" style="396" customWidth="1"/>
    <col min="7436" max="7436" width="17.85546875" style="396" customWidth="1"/>
    <col min="7437" max="7437" width="15.140625" style="396" customWidth="1"/>
    <col min="7438" max="7438" width="16.5703125" style="396" customWidth="1"/>
    <col min="7439" max="7439" width="17.5703125" style="396" customWidth="1"/>
    <col min="7440" max="7440" width="16.42578125" style="396" customWidth="1"/>
    <col min="7441" max="7442" width="9.140625" style="396"/>
    <col min="7443" max="7443" width="11.140625" style="396" bestFit="1" customWidth="1"/>
    <col min="7444" max="7680" width="9.140625" style="396"/>
    <col min="7681" max="7681" width="13.28515625" style="396" customWidth="1"/>
    <col min="7682" max="7682" width="13.7109375" style="396" customWidth="1"/>
    <col min="7683" max="7683" width="12.28515625" style="396" customWidth="1"/>
    <col min="7684" max="7684" width="40.7109375" style="396" customWidth="1"/>
    <col min="7685" max="7685" width="17.140625" style="396" customWidth="1"/>
    <col min="7686" max="7686" width="17.42578125" style="396" customWidth="1"/>
    <col min="7687" max="7687" width="16.42578125" style="396" customWidth="1"/>
    <col min="7688" max="7688" width="16" style="396" customWidth="1"/>
    <col min="7689" max="7689" width="15.140625" style="396" customWidth="1"/>
    <col min="7690" max="7690" width="16.28515625" style="396" customWidth="1"/>
    <col min="7691" max="7691" width="17.42578125" style="396" customWidth="1"/>
    <col min="7692" max="7692" width="17.85546875" style="396" customWidth="1"/>
    <col min="7693" max="7693" width="15.140625" style="396" customWidth="1"/>
    <col min="7694" max="7694" width="16.5703125" style="396" customWidth="1"/>
    <col min="7695" max="7695" width="17.5703125" style="396" customWidth="1"/>
    <col min="7696" max="7696" width="16.42578125" style="396" customWidth="1"/>
    <col min="7697" max="7698" width="9.140625" style="396"/>
    <col min="7699" max="7699" width="11.140625" style="396" bestFit="1" customWidth="1"/>
    <col min="7700" max="7936" width="9.140625" style="396"/>
    <col min="7937" max="7937" width="13.28515625" style="396" customWidth="1"/>
    <col min="7938" max="7938" width="13.7109375" style="396" customWidth="1"/>
    <col min="7939" max="7939" width="12.28515625" style="396" customWidth="1"/>
    <col min="7940" max="7940" width="40.7109375" style="396" customWidth="1"/>
    <col min="7941" max="7941" width="17.140625" style="396" customWidth="1"/>
    <col min="7942" max="7942" width="17.42578125" style="396" customWidth="1"/>
    <col min="7943" max="7943" width="16.42578125" style="396" customWidth="1"/>
    <col min="7944" max="7944" width="16" style="396" customWidth="1"/>
    <col min="7945" max="7945" width="15.140625" style="396" customWidth="1"/>
    <col min="7946" max="7946" width="16.28515625" style="396" customWidth="1"/>
    <col min="7947" max="7947" width="17.42578125" style="396" customWidth="1"/>
    <col min="7948" max="7948" width="17.85546875" style="396" customWidth="1"/>
    <col min="7949" max="7949" width="15.140625" style="396" customWidth="1"/>
    <col min="7950" max="7950" width="16.5703125" style="396" customWidth="1"/>
    <col min="7951" max="7951" width="17.5703125" style="396" customWidth="1"/>
    <col min="7952" max="7952" width="16.42578125" style="396" customWidth="1"/>
    <col min="7953" max="7954" width="9.140625" style="396"/>
    <col min="7955" max="7955" width="11.140625" style="396" bestFit="1" customWidth="1"/>
    <col min="7956" max="8192" width="9.140625" style="396"/>
    <col min="8193" max="8193" width="13.28515625" style="396" customWidth="1"/>
    <col min="8194" max="8194" width="13.7109375" style="396" customWidth="1"/>
    <col min="8195" max="8195" width="12.28515625" style="396" customWidth="1"/>
    <col min="8196" max="8196" width="40.7109375" style="396" customWidth="1"/>
    <col min="8197" max="8197" width="17.140625" style="396" customWidth="1"/>
    <col min="8198" max="8198" width="17.42578125" style="396" customWidth="1"/>
    <col min="8199" max="8199" width="16.42578125" style="396" customWidth="1"/>
    <col min="8200" max="8200" width="16" style="396" customWidth="1"/>
    <col min="8201" max="8201" width="15.140625" style="396" customWidth="1"/>
    <col min="8202" max="8202" width="16.28515625" style="396" customWidth="1"/>
    <col min="8203" max="8203" width="17.42578125" style="396" customWidth="1"/>
    <col min="8204" max="8204" width="17.85546875" style="396" customWidth="1"/>
    <col min="8205" max="8205" width="15.140625" style="396" customWidth="1"/>
    <col min="8206" max="8206" width="16.5703125" style="396" customWidth="1"/>
    <col min="8207" max="8207" width="17.5703125" style="396" customWidth="1"/>
    <col min="8208" max="8208" width="16.42578125" style="396" customWidth="1"/>
    <col min="8209" max="8210" width="9.140625" style="396"/>
    <col min="8211" max="8211" width="11.140625" style="396" bestFit="1" customWidth="1"/>
    <col min="8212" max="8448" width="9.140625" style="396"/>
    <col min="8449" max="8449" width="13.28515625" style="396" customWidth="1"/>
    <col min="8450" max="8450" width="13.7109375" style="396" customWidth="1"/>
    <col min="8451" max="8451" width="12.28515625" style="396" customWidth="1"/>
    <col min="8452" max="8452" width="40.7109375" style="396" customWidth="1"/>
    <col min="8453" max="8453" width="17.140625" style="396" customWidth="1"/>
    <col min="8454" max="8454" width="17.42578125" style="396" customWidth="1"/>
    <col min="8455" max="8455" width="16.42578125" style="396" customWidth="1"/>
    <col min="8456" max="8456" width="16" style="396" customWidth="1"/>
    <col min="8457" max="8457" width="15.140625" style="396" customWidth="1"/>
    <col min="8458" max="8458" width="16.28515625" style="396" customWidth="1"/>
    <col min="8459" max="8459" width="17.42578125" style="396" customWidth="1"/>
    <col min="8460" max="8460" width="17.85546875" style="396" customWidth="1"/>
    <col min="8461" max="8461" width="15.140625" style="396" customWidth="1"/>
    <col min="8462" max="8462" width="16.5703125" style="396" customWidth="1"/>
    <col min="8463" max="8463" width="17.5703125" style="396" customWidth="1"/>
    <col min="8464" max="8464" width="16.42578125" style="396" customWidth="1"/>
    <col min="8465" max="8466" width="9.140625" style="396"/>
    <col min="8467" max="8467" width="11.140625" style="396" bestFit="1" customWidth="1"/>
    <col min="8468" max="8704" width="9.140625" style="396"/>
    <col min="8705" max="8705" width="13.28515625" style="396" customWidth="1"/>
    <col min="8706" max="8706" width="13.7109375" style="396" customWidth="1"/>
    <col min="8707" max="8707" width="12.28515625" style="396" customWidth="1"/>
    <col min="8708" max="8708" width="40.7109375" style="396" customWidth="1"/>
    <col min="8709" max="8709" width="17.140625" style="396" customWidth="1"/>
    <col min="8710" max="8710" width="17.42578125" style="396" customWidth="1"/>
    <col min="8711" max="8711" width="16.42578125" style="396" customWidth="1"/>
    <col min="8712" max="8712" width="16" style="396" customWidth="1"/>
    <col min="8713" max="8713" width="15.140625" style="396" customWidth="1"/>
    <col min="8714" max="8714" width="16.28515625" style="396" customWidth="1"/>
    <col min="8715" max="8715" width="17.42578125" style="396" customWidth="1"/>
    <col min="8716" max="8716" width="17.85546875" style="396" customWidth="1"/>
    <col min="8717" max="8717" width="15.140625" style="396" customWidth="1"/>
    <col min="8718" max="8718" width="16.5703125" style="396" customWidth="1"/>
    <col min="8719" max="8719" width="17.5703125" style="396" customWidth="1"/>
    <col min="8720" max="8720" width="16.42578125" style="396" customWidth="1"/>
    <col min="8721" max="8722" width="9.140625" style="396"/>
    <col min="8723" max="8723" width="11.140625" style="396" bestFit="1" customWidth="1"/>
    <col min="8724" max="8960" width="9.140625" style="396"/>
    <col min="8961" max="8961" width="13.28515625" style="396" customWidth="1"/>
    <col min="8962" max="8962" width="13.7109375" style="396" customWidth="1"/>
    <col min="8963" max="8963" width="12.28515625" style="396" customWidth="1"/>
    <col min="8964" max="8964" width="40.7109375" style="396" customWidth="1"/>
    <col min="8965" max="8965" width="17.140625" style="396" customWidth="1"/>
    <col min="8966" max="8966" width="17.42578125" style="396" customWidth="1"/>
    <col min="8967" max="8967" width="16.42578125" style="396" customWidth="1"/>
    <col min="8968" max="8968" width="16" style="396" customWidth="1"/>
    <col min="8969" max="8969" width="15.140625" style="396" customWidth="1"/>
    <col min="8970" max="8970" width="16.28515625" style="396" customWidth="1"/>
    <col min="8971" max="8971" width="17.42578125" style="396" customWidth="1"/>
    <col min="8972" max="8972" width="17.85546875" style="396" customWidth="1"/>
    <col min="8973" max="8973" width="15.140625" style="396" customWidth="1"/>
    <col min="8974" max="8974" width="16.5703125" style="396" customWidth="1"/>
    <col min="8975" max="8975" width="17.5703125" style="396" customWidth="1"/>
    <col min="8976" max="8976" width="16.42578125" style="396" customWidth="1"/>
    <col min="8977" max="8978" width="9.140625" style="396"/>
    <col min="8979" max="8979" width="11.140625" style="396" bestFit="1" customWidth="1"/>
    <col min="8980" max="9216" width="9.140625" style="396"/>
    <col min="9217" max="9217" width="13.28515625" style="396" customWidth="1"/>
    <col min="9218" max="9218" width="13.7109375" style="396" customWidth="1"/>
    <col min="9219" max="9219" width="12.28515625" style="396" customWidth="1"/>
    <col min="9220" max="9220" width="40.7109375" style="396" customWidth="1"/>
    <col min="9221" max="9221" width="17.140625" style="396" customWidth="1"/>
    <col min="9222" max="9222" width="17.42578125" style="396" customWidth="1"/>
    <col min="9223" max="9223" width="16.42578125" style="396" customWidth="1"/>
    <col min="9224" max="9224" width="16" style="396" customWidth="1"/>
    <col min="9225" max="9225" width="15.140625" style="396" customWidth="1"/>
    <col min="9226" max="9226" width="16.28515625" style="396" customWidth="1"/>
    <col min="9227" max="9227" width="17.42578125" style="396" customWidth="1"/>
    <col min="9228" max="9228" width="17.85546875" style="396" customWidth="1"/>
    <col min="9229" max="9229" width="15.140625" style="396" customWidth="1"/>
    <col min="9230" max="9230" width="16.5703125" style="396" customWidth="1"/>
    <col min="9231" max="9231" width="17.5703125" style="396" customWidth="1"/>
    <col min="9232" max="9232" width="16.42578125" style="396" customWidth="1"/>
    <col min="9233" max="9234" width="9.140625" style="396"/>
    <col min="9235" max="9235" width="11.140625" style="396" bestFit="1" customWidth="1"/>
    <col min="9236" max="9472" width="9.140625" style="396"/>
    <col min="9473" max="9473" width="13.28515625" style="396" customWidth="1"/>
    <col min="9474" max="9474" width="13.7109375" style="396" customWidth="1"/>
    <col min="9475" max="9475" width="12.28515625" style="396" customWidth="1"/>
    <col min="9476" max="9476" width="40.7109375" style="396" customWidth="1"/>
    <col min="9477" max="9477" width="17.140625" style="396" customWidth="1"/>
    <col min="9478" max="9478" width="17.42578125" style="396" customWidth="1"/>
    <col min="9479" max="9479" width="16.42578125" style="396" customWidth="1"/>
    <col min="9480" max="9480" width="16" style="396" customWidth="1"/>
    <col min="9481" max="9481" width="15.140625" style="396" customWidth="1"/>
    <col min="9482" max="9482" width="16.28515625" style="396" customWidth="1"/>
    <col min="9483" max="9483" width="17.42578125" style="396" customWidth="1"/>
    <col min="9484" max="9484" width="17.85546875" style="396" customWidth="1"/>
    <col min="9485" max="9485" width="15.140625" style="396" customWidth="1"/>
    <col min="9486" max="9486" width="16.5703125" style="396" customWidth="1"/>
    <col min="9487" max="9487" width="17.5703125" style="396" customWidth="1"/>
    <col min="9488" max="9488" width="16.42578125" style="396" customWidth="1"/>
    <col min="9489" max="9490" width="9.140625" style="396"/>
    <col min="9491" max="9491" width="11.140625" style="396" bestFit="1" customWidth="1"/>
    <col min="9492" max="9728" width="9.140625" style="396"/>
    <col min="9729" max="9729" width="13.28515625" style="396" customWidth="1"/>
    <col min="9730" max="9730" width="13.7109375" style="396" customWidth="1"/>
    <col min="9731" max="9731" width="12.28515625" style="396" customWidth="1"/>
    <col min="9732" max="9732" width="40.7109375" style="396" customWidth="1"/>
    <col min="9733" max="9733" width="17.140625" style="396" customWidth="1"/>
    <col min="9734" max="9734" width="17.42578125" style="396" customWidth="1"/>
    <col min="9735" max="9735" width="16.42578125" style="396" customWidth="1"/>
    <col min="9736" max="9736" width="16" style="396" customWidth="1"/>
    <col min="9737" max="9737" width="15.140625" style="396" customWidth="1"/>
    <col min="9738" max="9738" width="16.28515625" style="396" customWidth="1"/>
    <col min="9739" max="9739" width="17.42578125" style="396" customWidth="1"/>
    <col min="9740" max="9740" width="17.85546875" style="396" customWidth="1"/>
    <col min="9741" max="9741" width="15.140625" style="396" customWidth="1"/>
    <col min="9742" max="9742" width="16.5703125" style="396" customWidth="1"/>
    <col min="9743" max="9743" width="17.5703125" style="396" customWidth="1"/>
    <col min="9744" max="9744" width="16.42578125" style="396" customWidth="1"/>
    <col min="9745" max="9746" width="9.140625" style="396"/>
    <col min="9747" max="9747" width="11.140625" style="396" bestFit="1" customWidth="1"/>
    <col min="9748" max="9984" width="9.140625" style="396"/>
    <col min="9985" max="9985" width="13.28515625" style="396" customWidth="1"/>
    <col min="9986" max="9986" width="13.7109375" style="396" customWidth="1"/>
    <col min="9987" max="9987" width="12.28515625" style="396" customWidth="1"/>
    <col min="9988" max="9988" width="40.7109375" style="396" customWidth="1"/>
    <col min="9989" max="9989" width="17.140625" style="396" customWidth="1"/>
    <col min="9990" max="9990" width="17.42578125" style="396" customWidth="1"/>
    <col min="9991" max="9991" width="16.42578125" style="396" customWidth="1"/>
    <col min="9992" max="9992" width="16" style="396" customWidth="1"/>
    <col min="9993" max="9993" width="15.140625" style="396" customWidth="1"/>
    <col min="9994" max="9994" width="16.28515625" style="396" customWidth="1"/>
    <col min="9995" max="9995" width="17.42578125" style="396" customWidth="1"/>
    <col min="9996" max="9996" width="17.85546875" style="396" customWidth="1"/>
    <col min="9997" max="9997" width="15.140625" style="396" customWidth="1"/>
    <col min="9998" max="9998" width="16.5703125" style="396" customWidth="1"/>
    <col min="9999" max="9999" width="17.5703125" style="396" customWidth="1"/>
    <col min="10000" max="10000" width="16.42578125" style="396" customWidth="1"/>
    <col min="10001" max="10002" width="9.140625" style="396"/>
    <col min="10003" max="10003" width="11.140625" style="396" bestFit="1" customWidth="1"/>
    <col min="10004" max="10240" width="9.140625" style="396"/>
    <col min="10241" max="10241" width="13.28515625" style="396" customWidth="1"/>
    <col min="10242" max="10242" width="13.7109375" style="396" customWidth="1"/>
    <col min="10243" max="10243" width="12.28515625" style="396" customWidth="1"/>
    <col min="10244" max="10244" width="40.7109375" style="396" customWidth="1"/>
    <col min="10245" max="10245" width="17.140625" style="396" customWidth="1"/>
    <col min="10246" max="10246" width="17.42578125" style="396" customWidth="1"/>
    <col min="10247" max="10247" width="16.42578125" style="396" customWidth="1"/>
    <col min="10248" max="10248" width="16" style="396" customWidth="1"/>
    <col min="10249" max="10249" width="15.140625" style="396" customWidth="1"/>
    <col min="10250" max="10250" width="16.28515625" style="396" customWidth="1"/>
    <col min="10251" max="10251" width="17.42578125" style="396" customWidth="1"/>
    <col min="10252" max="10252" width="17.85546875" style="396" customWidth="1"/>
    <col min="10253" max="10253" width="15.140625" style="396" customWidth="1"/>
    <col min="10254" max="10254" width="16.5703125" style="396" customWidth="1"/>
    <col min="10255" max="10255" width="17.5703125" style="396" customWidth="1"/>
    <col min="10256" max="10256" width="16.42578125" style="396" customWidth="1"/>
    <col min="10257" max="10258" width="9.140625" style="396"/>
    <col min="10259" max="10259" width="11.140625" style="396" bestFit="1" customWidth="1"/>
    <col min="10260" max="10496" width="9.140625" style="396"/>
    <col min="10497" max="10497" width="13.28515625" style="396" customWidth="1"/>
    <col min="10498" max="10498" width="13.7109375" style="396" customWidth="1"/>
    <col min="10499" max="10499" width="12.28515625" style="396" customWidth="1"/>
    <col min="10500" max="10500" width="40.7109375" style="396" customWidth="1"/>
    <col min="10501" max="10501" width="17.140625" style="396" customWidth="1"/>
    <col min="10502" max="10502" width="17.42578125" style="396" customWidth="1"/>
    <col min="10503" max="10503" width="16.42578125" style="396" customWidth="1"/>
    <col min="10504" max="10504" width="16" style="396" customWidth="1"/>
    <col min="10505" max="10505" width="15.140625" style="396" customWidth="1"/>
    <col min="10506" max="10506" width="16.28515625" style="396" customWidth="1"/>
    <col min="10507" max="10507" width="17.42578125" style="396" customWidth="1"/>
    <col min="10508" max="10508" width="17.85546875" style="396" customWidth="1"/>
    <col min="10509" max="10509" width="15.140625" style="396" customWidth="1"/>
    <col min="10510" max="10510" width="16.5703125" style="396" customWidth="1"/>
    <col min="10511" max="10511" width="17.5703125" style="396" customWidth="1"/>
    <col min="10512" max="10512" width="16.42578125" style="396" customWidth="1"/>
    <col min="10513" max="10514" width="9.140625" style="396"/>
    <col min="10515" max="10515" width="11.140625" style="396" bestFit="1" customWidth="1"/>
    <col min="10516" max="10752" width="9.140625" style="396"/>
    <col min="10753" max="10753" width="13.28515625" style="396" customWidth="1"/>
    <col min="10754" max="10754" width="13.7109375" style="396" customWidth="1"/>
    <col min="10755" max="10755" width="12.28515625" style="396" customWidth="1"/>
    <col min="10756" max="10756" width="40.7109375" style="396" customWidth="1"/>
    <col min="10757" max="10757" width="17.140625" style="396" customWidth="1"/>
    <col min="10758" max="10758" width="17.42578125" style="396" customWidth="1"/>
    <col min="10759" max="10759" width="16.42578125" style="396" customWidth="1"/>
    <col min="10760" max="10760" width="16" style="396" customWidth="1"/>
    <col min="10761" max="10761" width="15.140625" style="396" customWidth="1"/>
    <col min="10762" max="10762" width="16.28515625" style="396" customWidth="1"/>
    <col min="10763" max="10763" width="17.42578125" style="396" customWidth="1"/>
    <col min="10764" max="10764" width="17.85546875" style="396" customWidth="1"/>
    <col min="10765" max="10765" width="15.140625" style="396" customWidth="1"/>
    <col min="10766" max="10766" width="16.5703125" style="396" customWidth="1"/>
    <col min="10767" max="10767" width="17.5703125" style="396" customWidth="1"/>
    <col min="10768" max="10768" width="16.42578125" style="396" customWidth="1"/>
    <col min="10769" max="10770" width="9.140625" style="396"/>
    <col min="10771" max="10771" width="11.140625" style="396" bestFit="1" customWidth="1"/>
    <col min="10772" max="11008" width="9.140625" style="396"/>
    <col min="11009" max="11009" width="13.28515625" style="396" customWidth="1"/>
    <col min="11010" max="11010" width="13.7109375" style="396" customWidth="1"/>
    <col min="11011" max="11011" width="12.28515625" style="396" customWidth="1"/>
    <col min="11012" max="11012" width="40.7109375" style="396" customWidth="1"/>
    <col min="11013" max="11013" width="17.140625" style="396" customWidth="1"/>
    <col min="11014" max="11014" width="17.42578125" style="396" customWidth="1"/>
    <col min="11015" max="11015" width="16.42578125" style="396" customWidth="1"/>
    <col min="11016" max="11016" width="16" style="396" customWidth="1"/>
    <col min="11017" max="11017" width="15.140625" style="396" customWidth="1"/>
    <col min="11018" max="11018" width="16.28515625" style="396" customWidth="1"/>
    <col min="11019" max="11019" width="17.42578125" style="396" customWidth="1"/>
    <col min="11020" max="11020" width="17.85546875" style="396" customWidth="1"/>
    <col min="11021" max="11021" width="15.140625" style="396" customWidth="1"/>
    <col min="11022" max="11022" width="16.5703125" style="396" customWidth="1"/>
    <col min="11023" max="11023" width="17.5703125" style="396" customWidth="1"/>
    <col min="11024" max="11024" width="16.42578125" style="396" customWidth="1"/>
    <col min="11025" max="11026" width="9.140625" style="396"/>
    <col min="11027" max="11027" width="11.140625" style="396" bestFit="1" customWidth="1"/>
    <col min="11028" max="11264" width="9.140625" style="396"/>
    <col min="11265" max="11265" width="13.28515625" style="396" customWidth="1"/>
    <col min="11266" max="11266" width="13.7109375" style="396" customWidth="1"/>
    <col min="11267" max="11267" width="12.28515625" style="396" customWidth="1"/>
    <col min="11268" max="11268" width="40.7109375" style="396" customWidth="1"/>
    <col min="11269" max="11269" width="17.140625" style="396" customWidth="1"/>
    <col min="11270" max="11270" width="17.42578125" style="396" customWidth="1"/>
    <col min="11271" max="11271" width="16.42578125" style="396" customWidth="1"/>
    <col min="11272" max="11272" width="16" style="396" customWidth="1"/>
    <col min="11273" max="11273" width="15.140625" style="396" customWidth="1"/>
    <col min="11274" max="11274" width="16.28515625" style="396" customWidth="1"/>
    <col min="11275" max="11275" width="17.42578125" style="396" customWidth="1"/>
    <col min="11276" max="11276" width="17.85546875" style="396" customWidth="1"/>
    <col min="11277" max="11277" width="15.140625" style="396" customWidth="1"/>
    <col min="11278" max="11278" width="16.5703125" style="396" customWidth="1"/>
    <col min="11279" max="11279" width="17.5703125" style="396" customWidth="1"/>
    <col min="11280" max="11280" width="16.42578125" style="396" customWidth="1"/>
    <col min="11281" max="11282" width="9.140625" style="396"/>
    <col min="11283" max="11283" width="11.140625" style="396" bestFit="1" customWidth="1"/>
    <col min="11284" max="11520" width="9.140625" style="396"/>
    <col min="11521" max="11521" width="13.28515625" style="396" customWidth="1"/>
    <col min="11522" max="11522" width="13.7109375" style="396" customWidth="1"/>
    <col min="11523" max="11523" width="12.28515625" style="396" customWidth="1"/>
    <col min="11524" max="11524" width="40.7109375" style="396" customWidth="1"/>
    <col min="11525" max="11525" width="17.140625" style="396" customWidth="1"/>
    <col min="11526" max="11526" width="17.42578125" style="396" customWidth="1"/>
    <col min="11527" max="11527" width="16.42578125" style="396" customWidth="1"/>
    <col min="11528" max="11528" width="16" style="396" customWidth="1"/>
    <col min="11529" max="11529" width="15.140625" style="396" customWidth="1"/>
    <col min="11530" max="11530" width="16.28515625" style="396" customWidth="1"/>
    <col min="11531" max="11531" width="17.42578125" style="396" customWidth="1"/>
    <col min="11532" max="11532" width="17.85546875" style="396" customWidth="1"/>
    <col min="11533" max="11533" width="15.140625" style="396" customWidth="1"/>
    <col min="11534" max="11534" width="16.5703125" style="396" customWidth="1"/>
    <col min="11535" max="11535" width="17.5703125" style="396" customWidth="1"/>
    <col min="11536" max="11536" width="16.42578125" style="396" customWidth="1"/>
    <col min="11537" max="11538" width="9.140625" style="396"/>
    <col min="11539" max="11539" width="11.140625" style="396" bestFit="1" customWidth="1"/>
    <col min="11540" max="11776" width="9.140625" style="396"/>
    <col min="11777" max="11777" width="13.28515625" style="396" customWidth="1"/>
    <col min="11778" max="11778" width="13.7109375" style="396" customWidth="1"/>
    <col min="11779" max="11779" width="12.28515625" style="396" customWidth="1"/>
    <col min="11780" max="11780" width="40.7109375" style="396" customWidth="1"/>
    <col min="11781" max="11781" width="17.140625" style="396" customWidth="1"/>
    <col min="11782" max="11782" width="17.42578125" style="396" customWidth="1"/>
    <col min="11783" max="11783" width="16.42578125" style="396" customWidth="1"/>
    <col min="11784" max="11784" width="16" style="396" customWidth="1"/>
    <col min="11785" max="11785" width="15.140625" style="396" customWidth="1"/>
    <col min="11786" max="11786" width="16.28515625" style="396" customWidth="1"/>
    <col min="11787" max="11787" width="17.42578125" style="396" customWidth="1"/>
    <col min="11788" max="11788" width="17.85546875" style="396" customWidth="1"/>
    <col min="11789" max="11789" width="15.140625" style="396" customWidth="1"/>
    <col min="11790" max="11790" width="16.5703125" style="396" customWidth="1"/>
    <col min="11791" max="11791" width="17.5703125" style="396" customWidth="1"/>
    <col min="11792" max="11792" width="16.42578125" style="396" customWidth="1"/>
    <col min="11793" max="11794" width="9.140625" style="396"/>
    <col min="11795" max="11795" width="11.140625" style="396" bestFit="1" customWidth="1"/>
    <col min="11796" max="12032" width="9.140625" style="396"/>
    <col min="12033" max="12033" width="13.28515625" style="396" customWidth="1"/>
    <col min="12034" max="12034" width="13.7109375" style="396" customWidth="1"/>
    <col min="12035" max="12035" width="12.28515625" style="396" customWidth="1"/>
    <col min="12036" max="12036" width="40.7109375" style="396" customWidth="1"/>
    <col min="12037" max="12037" width="17.140625" style="396" customWidth="1"/>
    <col min="12038" max="12038" width="17.42578125" style="396" customWidth="1"/>
    <col min="12039" max="12039" width="16.42578125" style="396" customWidth="1"/>
    <col min="12040" max="12040" width="16" style="396" customWidth="1"/>
    <col min="12041" max="12041" width="15.140625" style="396" customWidth="1"/>
    <col min="12042" max="12042" width="16.28515625" style="396" customWidth="1"/>
    <col min="12043" max="12043" width="17.42578125" style="396" customWidth="1"/>
    <col min="12044" max="12044" width="17.85546875" style="396" customWidth="1"/>
    <col min="12045" max="12045" width="15.140625" style="396" customWidth="1"/>
    <col min="12046" max="12046" width="16.5703125" style="396" customWidth="1"/>
    <col min="12047" max="12047" width="17.5703125" style="396" customWidth="1"/>
    <col min="12048" max="12048" width="16.42578125" style="396" customWidth="1"/>
    <col min="12049" max="12050" width="9.140625" style="396"/>
    <col min="12051" max="12051" width="11.140625" style="396" bestFit="1" customWidth="1"/>
    <col min="12052" max="12288" width="9.140625" style="396"/>
    <col min="12289" max="12289" width="13.28515625" style="396" customWidth="1"/>
    <col min="12290" max="12290" width="13.7109375" style="396" customWidth="1"/>
    <col min="12291" max="12291" width="12.28515625" style="396" customWidth="1"/>
    <col min="12292" max="12292" width="40.7109375" style="396" customWidth="1"/>
    <col min="12293" max="12293" width="17.140625" style="396" customWidth="1"/>
    <col min="12294" max="12294" width="17.42578125" style="396" customWidth="1"/>
    <col min="12295" max="12295" width="16.42578125" style="396" customWidth="1"/>
    <col min="12296" max="12296" width="16" style="396" customWidth="1"/>
    <col min="12297" max="12297" width="15.140625" style="396" customWidth="1"/>
    <col min="12298" max="12298" width="16.28515625" style="396" customWidth="1"/>
    <col min="12299" max="12299" width="17.42578125" style="396" customWidth="1"/>
    <col min="12300" max="12300" width="17.85546875" style="396" customWidth="1"/>
    <col min="12301" max="12301" width="15.140625" style="396" customWidth="1"/>
    <col min="12302" max="12302" width="16.5703125" style="396" customWidth="1"/>
    <col min="12303" max="12303" width="17.5703125" style="396" customWidth="1"/>
    <col min="12304" max="12304" width="16.42578125" style="396" customWidth="1"/>
    <col min="12305" max="12306" width="9.140625" style="396"/>
    <col min="12307" max="12307" width="11.140625" style="396" bestFit="1" customWidth="1"/>
    <col min="12308" max="12544" width="9.140625" style="396"/>
    <col min="12545" max="12545" width="13.28515625" style="396" customWidth="1"/>
    <col min="12546" max="12546" width="13.7109375" style="396" customWidth="1"/>
    <col min="12547" max="12547" width="12.28515625" style="396" customWidth="1"/>
    <col min="12548" max="12548" width="40.7109375" style="396" customWidth="1"/>
    <col min="12549" max="12549" width="17.140625" style="396" customWidth="1"/>
    <col min="12550" max="12550" width="17.42578125" style="396" customWidth="1"/>
    <col min="12551" max="12551" width="16.42578125" style="396" customWidth="1"/>
    <col min="12552" max="12552" width="16" style="396" customWidth="1"/>
    <col min="12553" max="12553" width="15.140625" style="396" customWidth="1"/>
    <col min="12554" max="12554" width="16.28515625" style="396" customWidth="1"/>
    <col min="12555" max="12555" width="17.42578125" style="396" customWidth="1"/>
    <col min="12556" max="12556" width="17.85546875" style="396" customWidth="1"/>
    <col min="12557" max="12557" width="15.140625" style="396" customWidth="1"/>
    <col min="12558" max="12558" width="16.5703125" style="396" customWidth="1"/>
    <col min="12559" max="12559" width="17.5703125" style="396" customWidth="1"/>
    <col min="12560" max="12560" width="16.42578125" style="396" customWidth="1"/>
    <col min="12561" max="12562" width="9.140625" style="396"/>
    <col min="12563" max="12563" width="11.140625" style="396" bestFit="1" customWidth="1"/>
    <col min="12564" max="12800" width="9.140625" style="396"/>
    <col min="12801" max="12801" width="13.28515625" style="396" customWidth="1"/>
    <col min="12802" max="12802" width="13.7109375" style="396" customWidth="1"/>
    <col min="12803" max="12803" width="12.28515625" style="396" customWidth="1"/>
    <col min="12804" max="12804" width="40.7109375" style="396" customWidth="1"/>
    <col min="12805" max="12805" width="17.140625" style="396" customWidth="1"/>
    <col min="12806" max="12806" width="17.42578125" style="396" customWidth="1"/>
    <col min="12807" max="12807" width="16.42578125" style="396" customWidth="1"/>
    <col min="12808" max="12808" width="16" style="396" customWidth="1"/>
    <col min="12809" max="12809" width="15.140625" style="396" customWidth="1"/>
    <col min="12810" max="12810" width="16.28515625" style="396" customWidth="1"/>
    <col min="12811" max="12811" width="17.42578125" style="396" customWidth="1"/>
    <col min="12812" max="12812" width="17.85546875" style="396" customWidth="1"/>
    <col min="12813" max="12813" width="15.140625" style="396" customWidth="1"/>
    <col min="12814" max="12814" width="16.5703125" style="396" customWidth="1"/>
    <col min="12815" max="12815" width="17.5703125" style="396" customWidth="1"/>
    <col min="12816" max="12816" width="16.42578125" style="396" customWidth="1"/>
    <col min="12817" max="12818" width="9.140625" style="396"/>
    <col min="12819" max="12819" width="11.140625" style="396" bestFit="1" customWidth="1"/>
    <col min="12820" max="13056" width="9.140625" style="396"/>
    <col min="13057" max="13057" width="13.28515625" style="396" customWidth="1"/>
    <col min="13058" max="13058" width="13.7109375" style="396" customWidth="1"/>
    <col min="13059" max="13059" width="12.28515625" style="396" customWidth="1"/>
    <col min="13060" max="13060" width="40.7109375" style="396" customWidth="1"/>
    <col min="13061" max="13061" width="17.140625" style="396" customWidth="1"/>
    <col min="13062" max="13062" width="17.42578125" style="396" customWidth="1"/>
    <col min="13063" max="13063" width="16.42578125" style="396" customWidth="1"/>
    <col min="13064" max="13064" width="16" style="396" customWidth="1"/>
    <col min="13065" max="13065" width="15.140625" style="396" customWidth="1"/>
    <col min="13066" max="13066" width="16.28515625" style="396" customWidth="1"/>
    <col min="13067" max="13067" width="17.42578125" style="396" customWidth="1"/>
    <col min="13068" max="13068" width="17.85546875" style="396" customWidth="1"/>
    <col min="13069" max="13069" width="15.140625" style="396" customWidth="1"/>
    <col min="13070" max="13070" width="16.5703125" style="396" customWidth="1"/>
    <col min="13071" max="13071" width="17.5703125" style="396" customWidth="1"/>
    <col min="13072" max="13072" width="16.42578125" style="396" customWidth="1"/>
    <col min="13073" max="13074" width="9.140625" style="396"/>
    <col min="13075" max="13075" width="11.140625" style="396" bestFit="1" customWidth="1"/>
    <col min="13076" max="13312" width="9.140625" style="396"/>
    <col min="13313" max="13313" width="13.28515625" style="396" customWidth="1"/>
    <col min="13314" max="13314" width="13.7109375" style="396" customWidth="1"/>
    <col min="13315" max="13315" width="12.28515625" style="396" customWidth="1"/>
    <col min="13316" max="13316" width="40.7109375" style="396" customWidth="1"/>
    <col min="13317" max="13317" width="17.140625" style="396" customWidth="1"/>
    <col min="13318" max="13318" width="17.42578125" style="396" customWidth="1"/>
    <col min="13319" max="13319" width="16.42578125" style="396" customWidth="1"/>
    <col min="13320" max="13320" width="16" style="396" customWidth="1"/>
    <col min="13321" max="13321" width="15.140625" style="396" customWidth="1"/>
    <col min="13322" max="13322" width="16.28515625" style="396" customWidth="1"/>
    <col min="13323" max="13323" width="17.42578125" style="396" customWidth="1"/>
    <col min="13324" max="13324" width="17.85546875" style="396" customWidth="1"/>
    <col min="13325" max="13325" width="15.140625" style="396" customWidth="1"/>
    <col min="13326" max="13326" width="16.5703125" style="396" customWidth="1"/>
    <col min="13327" max="13327" width="17.5703125" style="396" customWidth="1"/>
    <col min="13328" max="13328" width="16.42578125" style="396" customWidth="1"/>
    <col min="13329" max="13330" width="9.140625" style="396"/>
    <col min="13331" max="13331" width="11.140625" style="396" bestFit="1" customWidth="1"/>
    <col min="13332" max="13568" width="9.140625" style="396"/>
    <col min="13569" max="13569" width="13.28515625" style="396" customWidth="1"/>
    <col min="13570" max="13570" width="13.7109375" style="396" customWidth="1"/>
    <col min="13571" max="13571" width="12.28515625" style="396" customWidth="1"/>
    <col min="13572" max="13572" width="40.7109375" style="396" customWidth="1"/>
    <col min="13573" max="13573" width="17.140625" style="396" customWidth="1"/>
    <col min="13574" max="13574" width="17.42578125" style="396" customWidth="1"/>
    <col min="13575" max="13575" width="16.42578125" style="396" customWidth="1"/>
    <col min="13576" max="13576" width="16" style="396" customWidth="1"/>
    <col min="13577" max="13577" width="15.140625" style="396" customWidth="1"/>
    <col min="13578" max="13578" width="16.28515625" style="396" customWidth="1"/>
    <col min="13579" max="13579" width="17.42578125" style="396" customWidth="1"/>
    <col min="13580" max="13580" width="17.85546875" style="396" customWidth="1"/>
    <col min="13581" max="13581" width="15.140625" style="396" customWidth="1"/>
    <col min="13582" max="13582" width="16.5703125" style="396" customWidth="1"/>
    <col min="13583" max="13583" width="17.5703125" style="396" customWidth="1"/>
    <col min="13584" max="13584" width="16.42578125" style="396" customWidth="1"/>
    <col min="13585" max="13586" width="9.140625" style="396"/>
    <col min="13587" max="13587" width="11.140625" style="396" bestFit="1" customWidth="1"/>
    <col min="13588" max="13824" width="9.140625" style="396"/>
    <col min="13825" max="13825" width="13.28515625" style="396" customWidth="1"/>
    <col min="13826" max="13826" width="13.7109375" style="396" customWidth="1"/>
    <col min="13827" max="13827" width="12.28515625" style="396" customWidth="1"/>
    <col min="13828" max="13828" width="40.7109375" style="396" customWidth="1"/>
    <col min="13829" max="13829" width="17.140625" style="396" customWidth="1"/>
    <col min="13830" max="13830" width="17.42578125" style="396" customWidth="1"/>
    <col min="13831" max="13831" width="16.42578125" style="396" customWidth="1"/>
    <col min="13832" max="13832" width="16" style="396" customWidth="1"/>
    <col min="13833" max="13833" width="15.140625" style="396" customWidth="1"/>
    <col min="13834" max="13834" width="16.28515625" style="396" customWidth="1"/>
    <col min="13835" max="13835" width="17.42578125" style="396" customWidth="1"/>
    <col min="13836" max="13836" width="17.85546875" style="396" customWidth="1"/>
    <col min="13837" max="13837" width="15.140625" style="396" customWidth="1"/>
    <col min="13838" max="13838" width="16.5703125" style="396" customWidth="1"/>
    <col min="13839" max="13839" width="17.5703125" style="396" customWidth="1"/>
    <col min="13840" max="13840" width="16.42578125" style="396" customWidth="1"/>
    <col min="13841" max="13842" width="9.140625" style="396"/>
    <col min="13843" max="13843" width="11.140625" style="396" bestFit="1" customWidth="1"/>
    <col min="13844" max="14080" width="9.140625" style="396"/>
    <col min="14081" max="14081" width="13.28515625" style="396" customWidth="1"/>
    <col min="14082" max="14082" width="13.7109375" style="396" customWidth="1"/>
    <col min="14083" max="14083" width="12.28515625" style="396" customWidth="1"/>
    <col min="14084" max="14084" width="40.7109375" style="396" customWidth="1"/>
    <col min="14085" max="14085" width="17.140625" style="396" customWidth="1"/>
    <col min="14086" max="14086" width="17.42578125" style="396" customWidth="1"/>
    <col min="14087" max="14087" width="16.42578125" style="396" customWidth="1"/>
    <col min="14088" max="14088" width="16" style="396" customWidth="1"/>
    <col min="14089" max="14089" width="15.140625" style="396" customWidth="1"/>
    <col min="14090" max="14090" width="16.28515625" style="396" customWidth="1"/>
    <col min="14091" max="14091" width="17.42578125" style="396" customWidth="1"/>
    <col min="14092" max="14092" width="17.85546875" style="396" customWidth="1"/>
    <col min="14093" max="14093" width="15.140625" style="396" customWidth="1"/>
    <col min="14094" max="14094" width="16.5703125" style="396" customWidth="1"/>
    <col min="14095" max="14095" width="17.5703125" style="396" customWidth="1"/>
    <col min="14096" max="14096" width="16.42578125" style="396" customWidth="1"/>
    <col min="14097" max="14098" width="9.140625" style="396"/>
    <col min="14099" max="14099" width="11.140625" style="396" bestFit="1" customWidth="1"/>
    <col min="14100" max="14336" width="9.140625" style="396"/>
    <col min="14337" max="14337" width="13.28515625" style="396" customWidth="1"/>
    <col min="14338" max="14338" width="13.7109375" style="396" customWidth="1"/>
    <col min="14339" max="14339" width="12.28515625" style="396" customWidth="1"/>
    <col min="14340" max="14340" width="40.7109375" style="396" customWidth="1"/>
    <col min="14341" max="14341" width="17.140625" style="396" customWidth="1"/>
    <col min="14342" max="14342" width="17.42578125" style="396" customWidth="1"/>
    <col min="14343" max="14343" width="16.42578125" style="396" customWidth="1"/>
    <col min="14344" max="14344" width="16" style="396" customWidth="1"/>
    <col min="14345" max="14345" width="15.140625" style="396" customWidth="1"/>
    <col min="14346" max="14346" width="16.28515625" style="396" customWidth="1"/>
    <col min="14347" max="14347" width="17.42578125" style="396" customWidth="1"/>
    <col min="14348" max="14348" width="17.85546875" style="396" customWidth="1"/>
    <col min="14349" max="14349" width="15.140625" style="396" customWidth="1"/>
    <col min="14350" max="14350" width="16.5703125" style="396" customWidth="1"/>
    <col min="14351" max="14351" width="17.5703125" style="396" customWidth="1"/>
    <col min="14352" max="14352" width="16.42578125" style="396" customWidth="1"/>
    <col min="14353" max="14354" width="9.140625" style="396"/>
    <col min="14355" max="14355" width="11.140625" style="396" bestFit="1" customWidth="1"/>
    <col min="14356" max="14592" width="9.140625" style="396"/>
    <col min="14593" max="14593" width="13.28515625" style="396" customWidth="1"/>
    <col min="14594" max="14594" width="13.7109375" style="396" customWidth="1"/>
    <col min="14595" max="14595" width="12.28515625" style="396" customWidth="1"/>
    <col min="14596" max="14596" width="40.7109375" style="396" customWidth="1"/>
    <col min="14597" max="14597" width="17.140625" style="396" customWidth="1"/>
    <col min="14598" max="14598" width="17.42578125" style="396" customWidth="1"/>
    <col min="14599" max="14599" width="16.42578125" style="396" customWidth="1"/>
    <col min="14600" max="14600" width="16" style="396" customWidth="1"/>
    <col min="14601" max="14601" width="15.140625" style="396" customWidth="1"/>
    <col min="14602" max="14602" width="16.28515625" style="396" customWidth="1"/>
    <col min="14603" max="14603" width="17.42578125" style="396" customWidth="1"/>
    <col min="14604" max="14604" width="17.85546875" style="396" customWidth="1"/>
    <col min="14605" max="14605" width="15.140625" style="396" customWidth="1"/>
    <col min="14606" max="14606" width="16.5703125" style="396" customWidth="1"/>
    <col min="14607" max="14607" width="17.5703125" style="396" customWidth="1"/>
    <col min="14608" max="14608" width="16.42578125" style="396" customWidth="1"/>
    <col min="14609" max="14610" width="9.140625" style="396"/>
    <col min="14611" max="14611" width="11.140625" style="396" bestFit="1" customWidth="1"/>
    <col min="14612" max="14848" width="9.140625" style="396"/>
    <col min="14849" max="14849" width="13.28515625" style="396" customWidth="1"/>
    <col min="14850" max="14850" width="13.7109375" style="396" customWidth="1"/>
    <col min="14851" max="14851" width="12.28515625" style="396" customWidth="1"/>
    <col min="14852" max="14852" width="40.7109375" style="396" customWidth="1"/>
    <col min="14853" max="14853" width="17.140625" style="396" customWidth="1"/>
    <col min="14854" max="14854" width="17.42578125" style="396" customWidth="1"/>
    <col min="14855" max="14855" width="16.42578125" style="396" customWidth="1"/>
    <col min="14856" max="14856" width="16" style="396" customWidth="1"/>
    <col min="14857" max="14857" width="15.140625" style="396" customWidth="1"/>
    <col min="14858" max="14858" width="16.28515625" style="396" customWidth="1"/>
    <col min="14859" max="14859" width="17.42578125" style="396" customWidth="1"/>
    <col min="14860" max="14860" width="17.85546875" style="396" customWidth="1"/>
    <col min="14861" max="14861" width="15.140625" style="396" customWidth="1"/>
    <col min="14862" max="14862" width="16.5703125" style="396" customWidth="1"/>
    <col min="14863" max="14863" width="17.5703125" style="396" customWidth="1"/>
    <col min="14864" max="14864" width="16.42578125" style="396" customWidth="1"/>
    <col min="14865" max="14866" width="9.140625" style="396"/>
    <col min="14867" max="14867" width="11.140625" style="396" bestFit="1" customWidth="1"/>
    <col min="14868" max="15104" width="9.140625" style="396"/>
    <col min="15105" max="15105" width="13.28515625" style="396" customWidth="1"/>
    <col min="15106" max="15106" width="13.7109375" style="396" customWidth="1"/>
    <col min="15107" max="15107" width="12.28515625" style="396" customWidth="1"/>
    <col min="15108" max="15108" width="40.7109375" style="396" customWidth="1"/>
    <col min="15109" max="15109" width="17.140625" style="396" customWidth="1"/>
    <col min="15110" max="15110" width="17.42578125" style="396" customWidth="1"/>
    <col min="15111" max="15111" width="16.42578125" style="396" customWidth="1"/>
    <col min="15112" max="15112" width="16" style="396" customWidth="1"/>
    <col min="15113" max="15113" width="15.140625" style="396" customWidth="1"/>
    <col min="15114" max="15114" width="16.28515625" style="396" customWidth="1"/>
    <col min="15115" max="15115" width="17.42578125" style="396" customWidth="1"/>
    <col min="15116" max="15116" width="17.85546875" style="396" customWidth="1"/>
    <col min="15117" max="15117" width="15.140625" style="396" customWidth="1"/>
    <col min="15118" max="15118" width="16.5703125" style="396" customWidth="1"/>
    <col min="15119" max="15119" width="17.5703125" style="396" customWidth="1"/>
    <col min="15120" max="15120" width="16.42578125" style="396" customWidth="1"/>
    <col min="15121" max="15122" width="9.140625" style="396"/>
    <col min="15123" max="15123" width="11.140625" style="396" bestFit="1" customWidth="1"/>
    <col min="15124" max="15360" width="9.140625" style="396"/>
    <col min="15361" max="15361" width="13.28515625" style="396" customWidth="1"/>
    <col min="15362" max="15362" width="13.7109375" style="396" customWidth="1"/>
    <col min="15363" max="15363" width="12.28515625" style="396" customWidth="1"/>
    <col min="15364" max="15364" width="40.7109375" style="396" customWidth="1"/>
    <col min="15365" max="15365" width="17.140625" style="396" customWidth="1"/>
    <col min="15366" max="15366" width="17.42578125" style="396" customWidth="1"/>
    <col min="15367" max="15367" width="16.42578125" style="396" customWidth="1"/>
    <col min="15368" max="15368" width="16" style="396" customWidth="1"/>
    <col min="15369" max="15369" width="15.140625" style="396" customWidth="1"/>
    <col min="15370" max="15370" width="16.28515625" style="396" customWidth="1"/>
    <col min="15371" max="15371" width="17.42578125" style="396" customWidth="1"/>
    <col min="15372" max="15372" width="17.85546875" style="396" customWidth="1"/>
    <col min="15373" max="15373" width="15.140625" style="396" customWidth="1"/>
    <col min="15374" max="15374" width="16.5703125" style="396" customWidth="1"/>
    <col min="15375" max="15375" width="17.5703125" style="396" customWidth="1"/>
    <col min="15376" max="15376" width="16.42578125" style="396" customWidth="1"/>
    <col min="15377" max="15378" width="9.140625" style="396"/>
    <col min="15379" max="15379" width="11.140625" style="396" bestFit="1" customWidth="1"/>
    <col min="15380" max="15616" width="9.140625" style="396"/>
    <col min="15617" max="15617" width="13.28515625" style="396" customWidth="1"/>
    <col min="15618" max="15618" width="13.7109375" style="396" customWidth="1"/>
    <col min="15619" max="15619" width="12.28515625" style="396" customWidth="1"/>
    <col min="15620" max="15620" width="40.7109375" style="396" customWidth="1"/>
    <col min="15621" max="15621" width="17.140625" style="396" customWidth="1"/>
    <col min="15622" max="15622" width="17.42578125" style="396" customWidth="1"/>
    <col min="15623" max="15623" width="16.42578125" style="396" customWidth="1"/>
    <col min="15624" max="15624" width="16" style="396" customWidth="1"/>
    <col min="15625" max="15625" width="15.140625" style="396" customWidth="1"/>
    <col min="15626" max="15626" width="16.28515625" style="396" customWidth="1"/>
    <col min="15627" max="15627" width="17.42578125" style="396" customWidth="1"/>
    <col min="15628" max="15628" width="17.85546875" style="396" customWidth="1"/>
    <col min="15629" max="15629" width="15.140625" style="396" customWidth="1"/>
    <col min="15630" max="15630" width="16.5703125" style="396" customWidth="1"/>
    <col min="15631" max="15631" width="17.5703125" style="396" customWidth="1"/>
    <col min="15632" max="15632" width="16.42578125" style="396" customWidth="1"/>
    <col min="15633" max="15634" width="9.140625" style="396"/>
    <col min="15635" max="15635" width="11.140625" style="396" bestFit="1" customWidth="1"/>
    <col min="15636" max="15872" width="9.140625" style="396"/>
    <col min="15873" max="15873" width="13.28515625" style="396" customWidth="1"/>
    <col min="15874" max="15874" width="13.7109375" style="396" customWidth="1"/>
    <col min="15875" max="15875" width="12.28515625" style="396" customWidth="1"/>
    <col min="15876" max="15876" width="40.7109375" style="396" customWidth="1"/>
    <col min="15877" max="15877" width="17.140625" style="396" customWidth="1"/>
    <col min="15878" max="15878" width="17.42578125" style="396" customWidth="1"/>
    <col min="15879" max="15879" width="16.42578125" style="396" customWidth="1"/>
    <col min="15880" max="15880" width="16" style="396" customWidth="1"/>
    <col min="15881" max="15881" width="15.140625" style="396" customWidth="1"/>
    <col min="15882" max="15882" width="16.28515625" style="396" customWidth="1"/>
    <col min="15883" max="15883" width="17.42578125" style="396" customWidth="1"/>
    <col min="15884" max="15884" width="17.85546875" style="396" customWidth="1"/>
    <col min="15885" max="15885" width="15.140625" style="396" customWidth="1"/>
    <col min="15886" max="15886" width="16.5703125" style="396" customWidth="1"/>
    <col min="15887" max="15887" width="17.5703125" style="396" customWidth="1"/>
    <col min="15888" max="15888" width="16.42578125" style="396" customWidth="1"/>
    <col min="15889" max="15890" width="9.140625" style="396"/>
    <col min="15891" max="15891" width="11.140625" style="396" bestFit="1" customWidth="1"/>
    <col min="15892" max="16128" width="9.140625" style="396"/>
    <col min="16129" max="16129" width="13.28515625" style="396" customWidth="1"/>
    <col min="16130" max="16130" width="13.7109375" style="396" customWidth="1"/>
    <col min="16131" max="16131" width="12.28515625" style="396" customWidth="1"/>
    <col min="16132" max="16132" width="40.7109375" style="396" customWidth="1"/>
    <col min="16133" max="16133" width="17.140625" style="396" customWidth="1"/>
    <col min="16134" max="16134" width="17.42578125" style="396" customWidth="1"/>
    <col min="16135" max="16135" width="16.42578125" style="396" customWidth="1"/>
    <col min="16136" max="16136" width="16" style="396" customWidth="1"/>
    <col min="16137" max="16137" width="15.140625" style="396" customWidth="1"/>
    <col min="16138" max="16138" width="16.28515625" style="396" customWidth="1"/>
    <col min="16139" max="16139" width="17.42578125" style="396" customWidth="1"/>
    <col min="16140" max="16140" width="17.85546875" style="396" customWidth="1"/>
    <col min="16141" max="16141" width="15.140625" style="396" customWidth="1"/>
    <col min="16142" max="16142" width="16.5703125" style="396" customWidth="1"/>
    <col min="16143" max="16143" width="17.5703125" style="396" customWidth="1"/>
    <col min="16144" max="16144" width="16.42578125" style="396" customWidth="1"/>
    <col min="16145" max="16146" width="9.140625" style="396"/>
    <col min="16147" max="16147" width="11.140625" style="396" bestFit="1" customWidth="1"/>
    <col min="16148" max="16384" width="9.140625" style="396"/>
  </cols>
  <sheetData>
    <row r="1" spans="1:19" s="10" customFormat="1" ht="75.75" customHeight="1" x14ac:dyDescent="0.25">
      <c r="A1" s="405"/>
      <c r="B1" s="405"/>
      <c r="D1" s="398"/>
      <c r="E1" s="18"/>
      <c r="J1" s="18"/>
      <c r="K1" s="627" t="s">
        <v>814</v>
      </c>
      <c r="L1" s="627"/>
      <c r="M1" s="627"/>
      <c r="N1" s="627"/>
      <c r="O1" s="627"/>
      <c r="P1" s="627"/>
    </row>
    <row r="2" spans="1:19" s="10" customFormat="1" ht="15.75" x14ac:dyDescent="0.25">
      <c r="A2" s="405"/>
      <c r="B2" s="405"/>
      <c r="D2" s="398"/>
      <c r="E2" s="18"/>
      <c r="J2" s="18"/>
      <c r="L2" s="607" t="s">
        <v>813</v>
      </c>
      <c r="M2" s="607"/>
      <c r="N2" s="607"/>
      <c r="O2" s="607"/>
      <c r="P2" s="607"/>
    </row>
    <row r="3" spans="1:19" s="10" customFormat="1" ht="21.75" customHeight="1" x14ac:dyDescent="0.25">
      <c r="A3" s="680" t="s">
        <v>127</v>
      </c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O3" s="680"/>
      <c r="P3" s="680"/>
    </row>
    <row r="4" spans="1:19" s="10" customFormat="1" ht="24" customHeight="1" x14ac:dyDescent="0.25">
      <c r="A4" s="681" t="s">
        <v>640</v>
      </c>
      <c r="B4" s="681"/>
      <c r="C4" s="681"/>
      <c r="D4" s="681"/>
      <c r="E4" s="681"/>
      <c r="F4" s="681"/>
      <c r="G4" s="681"/>
      <c r="H4" s="681"/>
      <c r="I4" s="681"/>
      <c r="J4" s="681"/>
      <c r="K4" s="681"/>
      <c r="L4" s="681"/>
      <c r="M4" s="681"/>
      <c r="N4" s="681"/>
      <c r="O4" s="681"/>
      <c r="P4" s="681"/>
    </row>
    <row r="5" spans="1:19" s="10" customFormat="1" ht="24" customHeight="1" x14ac:dyDescent="0.25">
      <c r="A5" s="406"/>
      <c r="B5" s="406"/>
      <c r="C5" s="406"/>
      <c r="D5" s="681" t="s">
        <v>641</v>
      </c>
      <c r="E5" s="681"/>
      <c r="F5" s="681"/>
      <c r="G5" s="681"/>
      <c r="H5" s="681"/>
      <c r="I5" s="681"/>
      <c r="J5" s="681"/>
      <c r="K5" s="681"/>
      <c r="L5" s="681"/>
      <c r="M5" s="406"/>
      <c r="N5" s="406"/>
      <c r="O5" s="406"/>
      <c r="P5" s="406"/>
    </row>
    <row r="6" spans="1:19" s="10" customFormat="1" ht="39" customHeight="1" x14ac:dyDescent="0.25">
      <c r="A6" s="406"/>
      <c r="B6" s="406"/>
      <c r="C6" s="406"/>
      <c r="D6" s="681"/>
      <c r="E6" s="681"/>
      <c r="F6" s="681"/>
      <c r="G6" s="681"/>
      <c r="H6" s="681"/>
      <c r="I6" s="681"/>
      <c r="J6" s="681"/>
      <c r="K6" s="681"/>
      <c r="L6" s="681"/>
      <c r="M6" s="406"/>
      <c r="N6" s="406"/>
      <c r="O6" s="406"/>
      <c r="P6" s="406"/>
    </row>
    <row r="7" spans="1:19" s="10" customFormat="1" ht="24" customHeight="1" x14ac:dyDescent="0.25">
      <c r="A7" s="406"/>
      <c r="B7" s="406"/>
      <c r="C7" s="406"/>
      <c r="D7" s="679" t="s">
        <v>3</v>
      </c>
      <c r="E7" s="679"/>
      <c r="F7" s="406"/>
      <c r="G7" s="406"/>
      <c r="H7" s="406"/>
      <c r="I7" s="406"/>
      <c r="J7" s="406"/>
      <c r="K7" s="407"/>
      <c r="L7" s="406"/>
      <c r="M7" s="406"/>
      <c r="N7" s="406"/>
      <c r="O7" s="406"/>
      <c r="P7" s="406"/>
    </row>
    <row r="8" spans="1:19" s="10" customFormat="1" ht="15.75" x14ac:dyDescent="0.25">
      <c r="A8" s="405"/>
      <c r="B8" s="405"/>
      <c r="D8" s="398" t="s">
        <v>4</v>
      </c>
      <c r="E8" s="18"/>
      <c r="J8" s="18"/>
      <c r="P8" s="408" t="s">
        <v>129</v>
      </c>
    </row>
    <row r="9" spans="1:19" ht="12.75" customHeight="1" x14ac:dyDescent="0.2">
      <c r="A9" s="682" t="s">
        <v>642</v>
      </c>
      <c r="B9" s="682" t="s">
        <v>643</v>
      </c>
      <c r="C9" s="682" t="s">
        <v>503</v>
      </c>
      <c r="D9" s="682" t="s">
        <v>644</v>
      </c>
      <c r="E9" s="682" t="s">
        <v>134</v>
      </c>
      <c r="F9" s="682"/>
      <c r="G9" s="682"/>
      <c r="H9" s="682"/>
      <c r="I9" s="682"/>
      <c r="J9" s="682" t="s">
        <v>10</v>
      </c>
      <c r="K9" s="682"/>
      <c r="L9" s="682"/>
      <c r="M9" s="682"/>
      <c r="N9" s="682"/>
      <c r="O9" s="682"/>
      <c r="P9" s="682" t="s">
        <v>135</v>
      </c>
      <c r="R9" s="397">
        <f t="shared" ref="R9:R13" si="0">E8-F8</f>
        <v>0</v>
      </c>
    </row>
    <row r="10" spans="1:19" ht="12.75" customHeight="1" x14ac:dyDescent="0.2">
      <c r="A10" s="682"/>
      <c r="B10" s="682"/>
      <c r="C10" s="682"/>
      <c r="D10" s="682"/>
      <c r="E10" s="682" t="s">
        <v>11</v>
      </c>
      <c r="F10" s="682" t="s">
        <v>136</v>
      </c>
      <c r="G10" s="682" t="s">
        <v>137</v>
      </c>
      <c r="H10" s="682"/>
      <c r="I10" s="682" t="s">
        <v>138</v>
      </c>
      <c r="J10" s="682" t="s">
        <v>11</v>
      </c>
      <c r="K10" s="682" t="s">
        <v>12</v>
      </c>
      <c r="L10" s="682" t="s">
        <v>136</v>
      </c>
      <c r="M10" s="682" t="s">
        <v>137</v>
      </c>
      <c r="N10" s="682"/>
      <c r="O10" s="682" t="s">
        <v>138</v>
      </c>
      <c r="P10" s="682"/>
      <c r="R10" s="397" t="e">
        <f t="shared" si="0"/>
        <v>#VALUE!</v>
      </c>
    </row>
    <row r="11" spans="1:19" ht="15.75" customHeight="1" x14ac:dyDescent="0.2">
      <c r="A11" s="682"/>
      <c r="B11" s="682"/>
      <c r="C11" s="682"/>
      <c r="D11" s="682"/>
      <c r="E11" s="682"/>
      <c r="F11" s="682"/>
      <c r="G11" s="682" t="s">
        <v>139</v>
      </c>
      <c r="H11" s="682" t="s">
        <v>140</v>
      </c>
      <c r="I11" s="682"/>
      <c r="J11" s="682"/>
      <c r="K11" s="682"/>
      <c r="L11" s="682"/>
      <c r="M11" s="682" t="s">
        <v>139</v>
      </c>
      <c r="N11" s="682" t="s">
        <v>140</v>
      </c>
      <c r="O11" s="682"/>
      <c r="P11" s="682"/>
      <c r="R11" s="397" t="e">
        <f t="shared" si="0"/>
        <v>#VALUE!</v>
      </c>
    </row>
    <row r="12" spans="1:19" ht="38.25" customHeight="1" x14ac:dyDescent="0.2">
      <c r="A12" s="682"/>
      <c r="B12" s="682"/>
      <c r="C12" s="682"/>
      <c r="D12" s="682"/>
      <c r="E12" s="682"/>
      <c r="F12" s="682"/>
      <c r="G12" s="682"/>
      <c r="H12" s="682"/>
      <c r="I12" s="682"/>
      <c r="J12" s="682"/>
      <c r="K12" s="682"/>
      <c r="L12" s="682"/>
      <c r="M12" s="682"/>
      <c r="N12" s="682"/>
      <c r="O12" s="682"/>
      <c r="P12" s="682"/>
      <c r="R12" s="397">
        <f t="shared" si="0"/>
        <v>0</v>
      </c>
    </row>
    <row r="13" spans="1:19" ht="12.75" customHeight="1" x14ac:dyDescent="0.2">
      <c r="A13" s="409">
        <v>1</v>
      </c>
      <c r="B13" s="409">
        <v>2</v>
      </c>
      <c r="C13" s="409">
        <v>3</v>
      </c>
      <c r="D13" s="409">
        <v>4</v>
      </c>
      <c r="E13" s="409">
        <v>5</v>
      </c>
      <c r="F13" s="409">
        <v>6</v>
      </c>
      <c r="G13" s="409">
        <v>7</v>
      </c>
      <c r="H13" s="409">
        <v>8</v>
      </c>
      <c r="I13" s="409">
        <v>9</v>
      </c>
      <c r="J13" s="409">
        <v>10</v>
      </c>
      <c r="K13" s="409">
        <v>11</v>
      </c>
      <c r="L13" s="409">
        <v>12</v>
      </c>
      <c r="M13" s="409">
        <v>13</v>
      </c>
      <c r="N13" s="409">
        <v>14</v>
      </c>
      <c r="O13" s="409">
        <v>15</v>
      </c>
      <c r="P13" s="409">
        <v>16</v>
      </c>
      <c r="R13" s="397">
        <f t="shared" si="0"/>
        <v>0</v>
      </c>
    </row>
    <row r="14" spans="1:19" ht="36.75" customHeight="1" x14ac:dyDescent="0.2">
      <c r="A14" s="553" t="s">
        <v>141</v>
      </c>
      <c r="B14" s="553" t="s">
        <v>142</v>
      </c>
      <c r="C14" s="554"/>
      <c r="D14" s="555" t="s">
        <v>143</v>
      </c>
      <c r="E14" s="583">
        <v>244705179</v>
      </c>
      <c r="F14" s="583">
        <v>244705179</v>
      </c>
      <c r="G14" s="583">
        <v>52503806</v>
      </c>
      <c r="H14" s="583">
        <v>3889530</v>
      </c>
      <c r="I14" s="583">
        <v>0</v>
      </c>
      <c r="J14" s="583">
        <v>377199794</v>
      </c>
      <c r="K14" s="583">
        <v>375648794</v>
      </c>
      <c r="L14" s="583">
        <v>995400</v>
      </c>
      <c r="M14" s="583">
        <v>0</v>
      </c>
      <c r="N14" s="583">
        <v>20500</v>
      </c>
      <c r="O14" s="583">
        <v>376204394</v>
      </c>
      <c r="P14" s="583">
        <v>621904973</v>
      </c>
      <c r="R14" s="397">
        <f>E14-F14</f>
        <v>0</v>
      </c>
    </row>
    <row r="15" spans="1:19" ht="47.25" x14ac:dyDescent="0.2">
      <c r="A15" s="553" t="s">
        <v>144</v>
      </c>
      <c r="B15" s="553"/>
      <c r="C15" s="554"/>
      <c r="D15" s="555" t="s">
        <v>145</v>
      </c>
      <c r="E15" s="583">
        <v>244705179</v>
      </c>
      <c r="F15" s="583">
        <v>244705179</v>
      </c>
      <c r="G15" s="583">
        <v>52503806</v>
      </c>
      <c r="H15" s="583">
        <v>3889530</v>
      </c>
      <c r="I15" s="583">
        <v>0</v>
      </c>
      <c r="J15" s="583">
        <v>377199794</v>
      </c>
      <c r="K15" s="583">
        <v>375648794</v>
      </c>
      <c r="L15" s="583">
        <v>995400</v>
      </c>
      <c r="M15" s="583">
        <v>0</v>
      </c>
      <c r="N15" s="583">
        <v>20500</v>
      </c>
      <c r="O15" s="583">
        <v>376204394</v>
      </c>
      <c r="P15" s="583">
        <v>621904973</v>
      </c>
      <c r="R15" s="397">
        <f t="shared" ref="R15:R78" si="1">E15-F15</f>
        <v>0</v>
      </c>
      <c r="S15" s="397">
        <f>O15-K15</f>
        <v>555600</v>
      </c>
    </row>
    <row r="16" spans="1:19" ht="47.25" x14ac:dyDescent="0.2">
      <c r="A16" s="576" t="s">
        <v>146</v>
      </c>
      <c r="B16" s="576" t="s">
        <v>147</v>
      </c>
      <c r="C16" s="577" t="s">
        <v>148</v>
      </c>
      <c r="D16" s="578" t="s">
        <v>645</v>
      </c>
      <c r="E16" s="584">
        <v>72393285</v>
      </c>
      <c r="F16" s="584">
        <v>72393285</v>
      </c>
      <c r="G16" s="584">
        <v>52429954</v>
      </c>
      <c r="H16" s="584">
        <v>3889530</v>
      </c>
      <c r="I16" s="584">
        <v>0</v>
      </c>
      <c r="J16" s="584">
        <v>950000</v>
      </c>
      <c r="K16" s="584">
        <v>0</v>
      </c>
      <c r="L16" s="584">
        <v>950000</v>
      </c>
      <c r="M16" s="584">
        <v>0</v>
      </c>
      <c r="N16" s="584">
        <v>20500</v>
      </c>
      <c r="O16" s="584">
        <v>0</v>
      </c>
      <c r="P16" s="584">
        <v>73343285</v>
      </c>
      <c r="R16" s="397">
        <f t="shared" si="1"/>
        <v>0</v>
      </c>
      <c r="S16" s="397">
        <f t="shared" ref="S16:S81" si="2">O16-K16</f>
        <v>0</v>
      </c>
    </row>
    <row r="17" spans="1:19" ht="31.5" x14ac:dyDescent="0.2">
      <c r="A17" s="576" t="s">
        <v>150</v>
      </c>
      <c r="B17" s="576" t="s">
        <v>151</v>
      </c>
      <c r="C17" s="577" t="s">
        <v>152</v>
      </c>
      <c r="D17" s="578" t="s">
        <v>153</v>
      </c>
      <c r="E17" s="584">
        <v>1338000</v>
      </c>
      <c r="F17" s="584">
        <v>1338000</v>
      </c>
      <c r="G17" s="584">
        <v>0</v>
      </c>
      <c r="H17" s="584">
        <v>0</v>
      </c>
      <c r="I17" s="584">
        <v>0</v>
      </c>
      <c r="J17" s="584">
        <v>0</v>
      </c>
      <c r="K17" s="584">
        <v>0</v>
      </c>
      <c r="L17" s="584">
        <v>0</v>
      </c>
      <c r="M17" s="584">
        <v>0</v>
      </c>
      <c r="N17" s="584">
        <v>0</v>
      </c>
      <c r="O17" s="584">
        <v>0</v>
      </c>
      <c r="P17" s="584">
        <v>1338000</v>
      </c>
      <c r="R17" s="397">
        <f t="shared" si="1"/>
        <v>0</v>
      </c>
      <c r="S17" s="397">
        <f t="shared" si="2"/>
        <v>0</v>
      </c>
    </row>
    <row r="18" spans="1:19" ht="31.5" x14ac:dyDescent="0.2">
      <c r="A18" s="576" t="s">
        <v>154</v>
      </c>
      <c r="B18" s="576" t="s">
        <v>155</v>
      </c>
      <c r="C18" s="577" t="s">
        <v>156</v>
      </c>
      <c r="D18" s="578" t="s">
        <v>646</v>
      </c>
      <c r="E18" s="584">
        <v>14394448</v>
      </c>
      <c r="F18" s="584">
        <v>14394448</v>
      </c>
      <c r="G18" s="584">
        <v>0</v>
      </c>
      <c r="H18" s="584">
        <v>0</v>
      </c>
      <c r="I18" s="584">
        <v>0</v>
      </c>
      <c r="J18" s="584">
        <v>0</v>
      </c>
      <c r="K18" s="584">
        <v>0</v>
      </c>
      <c r="L18" s="584">
        <v>0</v>
      </c>
      <c r="M18" s="584">
        <v>0</v>
      </c>
      <c r="N18" s="584">
        <v>0</v>
      </c>
      <c r="O18" s="584">
        <v>0</v>
      </c>
      <c r="P18" s="584">
        <v>14394448</v>
      </c>
      <c r="R18" s="397">
        <f t="shared" si="1"/>
        <v>0</v>
      </c>
      <c r="S18" s="397">
        <f t="shared" si="2"/>
        <v>0</v>
      </c>
    </row>
    <row r="19" spans="1:19" ht="63" x14ac:dyDescent="0.2">
      <c r="A19" s="576" t="s">
        <v>159</v>
      </c>
      <c r="B19" s="576" t="s">
        <v>160</v>
      </c>
      <c r="C19" s="577" t="s">
        <v>161</v>
      </c>
      <c r="D19" s="578" t="s">
        <v>162</v>
      </c>
      <c r="E19" s="584">
        <v>2319489</v>
      </c>
      <c r="F19" s="584">
        <v>2319489</v>
      </c>
      <c r="G19" s="584">
        <v>0</v>
      </c>
      <c r="H19" s="584">
        <v>0</v>
      </c>
      <c r="I19" s="584">
        <v>0</v>
      </c>
      <c r="J19" s="584">
        <v>0</v>
      </c>
      <c r="K19" s="584">
        <v>0</v>
      </c>
      <c r="L19" s="584">
        <v>0</v>
      </c>
      <c r="M19" s="584">
        <v>0</v>
      </c>
      <c r="N19" s="584">
        <v>0</v>
      </c>
      <c r="O19" s="584">
        <v>0</v>
      </c>
      <c r="P19" s="584">
        <v>2319489</v>
      </c>
      <c r="R19" s="397">
        <f t="shared" si="1"/>
        <v>0</v>
      </c>
      <c r="S19" s="397">
        <f t="shared" si="2"/>
        <v>0</v>
      </c>
    </row>
    <row r="20" spans="1:19" ht="47.25" x14ac:dyDescent="0.2">
      <c r="A20" s="576" t="s">
        <v>163</v>
      </c>
      <c r="B20" s="576" t="s">
        <v>164</v>
      </c>
      <c r="C20" s="577" t="s">
        <v>165</v>
      </c>
      <c r="D20" s="578" t="s">
        <v>166</v>
      </c>
      <c r="E20" s="584">
        <v>1000000</v>
      </c>
      <c r="F20" s="584">
        <v>1000000</v>
      </c>
      <c r="G20" s="584">
        <v>0</v>
      </c>
      <c r="H20" s="584">
        <v>0</v>
      </c>
      <c r="I20" s="584">
        <v>0</v>
      </c>
      <c r="J20" s="584">
        <v>0</v>
      </c>
      <c r="K20" s="584">
        <v>0</v>
      </c>
      <c r="L20" s="584">
        <v>0</v>
      </c>
      <c r="M20" s="584">
        <v>0</v>
      </c>
      <c r="N20" s="584">
        <v>0</v>
      </c>
      <c r="O20" s="584">
        <v>0</v>
      </c>
      <c r="P20" s="584">
        <v>1000000</v>
      </c>
      <c r="R20" s="397">
        <f t="shared" si="1"/>
        <v>0</v>
      </c>
      <c r="S20" s="397">
        <f t="shared" si="2"/>
        <v>0</v>
      </c>
    </row>
    <row r="21" spans="1:19" ht="31.5" x14ac:dyDescent="0.2">
      <c r="A21" s="576" t="s">
        <v>168</v>
      </c>
      <c r="B21" s="576" t="s">
        <v>169</v>
      </c>
      <c r="C21" s="577" t="s">
        <v>165</v>
      </c>
      <c r="D21" s="578" t="s">
        <v>647</v>
      </c>
      <c r="E21" s="584">
        <v>17827875</v>
      </c>
      <c r="F21" s="584">
        <v>17827875</v>
      </c>
      <c r="G21" s="584">
        <v>0</v>
      </c>
      <c r="H21" s="584">
        <v>0</v>
      </c>
      <c r="I21" s="584">
        <v>0</v>
      </c>
      <c r="J21" s="584">
        <v>6584000</v>
      </c>
      <c r="K21" s="584">
        <v>6584000</v>
      </c>
      <c r="L21" s="584">
        <v>0</v>
      </c>
      <c r="M21" s="584">
        <v>0</v>
      </c>
      <c r="N21" s="584">
        <v>0</v>
      </c>
      <c r="O21" s="584">
        <v>6584000</v>
      </c>
      <c r="P21" s="584">
        <v>24411875</v>
      </c>
      <c r="R21" s="397">
        <f t="shared" si="1"/>
        <v>0</v>
      </c>
      <c r="S21" s="397">
        <f t="shared" si="2"/>
        <v>0</v>
      </c>
    </row>
    <row r="22" spans="1:19" ht="31.5" hidden="1" x14ac:dyDescent="0.2">
      <c r="A22" s="576" t="s">
        <v>171</v>
      </c>
      <c r="B22" s="576" t="s">
        <v>172</v>
      </c>
      <c r="C22" s="577" t="s">
        <v>173</v>
      </c>
      <c r="D22" s="578" t="s">
        <v>174</v>
      </c>
      <c r="E22" s="584">
        <v>0</v>
      </c>
      <c r="F22" s="584">
        <v>0</v>
      </c>
      <c r="G22" s="584">
        <v>0</v>
      </c>
      <c r="H22" s="584">
        <v>0</v>
      </c>
      <c r="I22" s="584">
        <v>0</v>
      </c>
      <c r="J22" s="584">
        <v>0</v>
      </c>
      <c r="K22" s="584">
        <v>0</v>
      </c>
      <c r="L22" s="584">
        <v>0</v>
      </c>
      <c r="M22" s="584">
        <v>0</v>
      </c>
      <c r="N22" s="584">
        <v>0</v>
      </c>
      <c r="O22" s="584">
        <v>0</v>
      </c>
      <c r="P22" s="584">
        <v>0</v>
      </c>
      <c r="R22" s="397">
        <f t="shared" si="1"/>
        <v>0</v>
      </c>
      <c r="S22" s="397">
        <f t="shared" si="2"/>
        <v>0</v>
      </c>
    </row>
    <row r="23" spans="1:19" ht="31.5" x14ac:dyDescent="0.2">
      <c r="A23" s="576" t="s">
        <v>175</v>
      </c>
      <c r="B23" s="576" t="s">
        <v>176</v>
      </c>
      <c r="C23" s="577" t="s">
        <v>177</v>
      </c>
      <c r="D23" s="578" t="s">
        <v>178</v>
      </c>
      <c r="E23" s="584">
        <v>90100</v>
      </c>
      <c r="F23" s="584">
        <v>90100</v>
      </c>
      <c r="G23" s="584">
        <v>73852</v>
      </c>
      <c r="H23" s="584">
        <v>0</v>
      </c>
      <c r="I23" s="584">
        <v>0</v>
      </c>
      <c r="J23" s="584">
        <v>0</v>
      </c>
      <c r="K23" s="584">
        <v>0</v>
      </c>
      <c r="L23" s="584">
        <v>0</v>
      </c>
      <c r="M23" s="584">
        <v>0</v>
      </c>
      <c r="N23" s="584">
        <v>0</v>
      </c>
      <c r="O23" s="584">
        <v>0</v>
      </c>
      <c r="P23" s="584">
        <v>90100</v>
      </c>
      <c r="R23" s="397">
        <f t="shared" si="1"/>
        <v>0</v>
      </c>
      <c r="S23" s="397">
        <f t="shared" si="2"/>
        <v>0</v>
      </c>
    </row>
    <row r="24" spans="1:19" ht="31.5" x14ac:dyDescent="0.2">
      <c r="A24" s="576" t="s">
        <v>179</v>
      </c>
      <c r="B24" s="576" t="s">
        <v>180</v>
      </c>
      <c r="C24" s="577" t="s">
        <v>335</v>
      </c>
      <c r="D24" s="578" t="s">
        <v>182</v>
      </c>
      <c r="E24" s="584">
        <v>1848000</v>
      </c>
      <c r="F24" s="584">
        <v>1848000</v>
      </c>
      <c r="G24" s="584">
        <v>0</v>
      </c>
      <c r="H24" s="584">
        <v>0</v>
      </c>
      <c r="I24" s="584">
        <v>0</v>
      </c>
      <c r="J24" s="584">
        <v>0</v>
      </c>
      <c r="K24" s="584">
        <v>0</v>
      </c>
      <c r="L24" s="584">
        <v>0</v>
      </c>
      <c r="M24" s="584">
        <v>0</v>
      </c>
      <c r="N24" s="584">
        <v>0</v>
      </c>
      <c r="O24" s="584">
        <v>0</v>
      </c>
      <c r="P24" s="584">
        <v>1848000</v>
      </c>
      <c r="R24" s="397">
        <f t="shared" si="1"/>
        <v>0</v>
      </c>
      <c r="S24" s="397">
        <f t="shared" si="2"/>
        <v>0</v>
      </c>
    </row>
    <row r="25" spans="1:19" s="556" customFormat="1" ht="110.25" x14ac:dyDescent="0.25">
      <c r="A25" s="576" t="s">
        <v>711</v>
      </c>
      <c r="B25" s="576" t="s">
        <v>709</v>
      </c>
      <c r="C25" s="577" t="s">
        <v>710</v>
      </c>
      <c r="D25" s="578" t="s">
        <v>712</v>
      </c>
      <c r="E25" s="584">
        <v>0</v>
      </c>
      <c r="F25" s="584">
        <v>0</v>
      </c>
      <c r="G25" s="584">
        <v>0</v>
      </c>
      <c r="H25" s="584">
        <v>0</v>
      </c>
      <c r="I25" s="584">
        <v>0</v>
      </c>
      <c r="J25" s="584">
        <v>5700000</v>
      </c>
      <c r="K25" s="584">
        <v>5700000</v>
      </c>
      <c r="L25" s="584">
        <v>0</v>
      </c>
      <c r="M25" s="584">
        <v>0</v>
      </c>
      <c r="N25" s="584">
        <v>0</v>
      </c>
      <c r="O25" s="584">
        <v>5700000</v>
      </c>
      <c r="P25" s="584">
        <v>5700000</v>
      </c>
      <c r="R25" s="397">
        <f t="shared" si="1"/>
        <v>0</v>
      </c>
      <c r="S25" s="14"/>
    </row>
    <row r="26" spans="1:19" ht="31.5" x14ac:dyDescent="0.2">
      <c r="A26" s="576" t="s">
        <v>187</v>
      </c>
      <c r="B26" s="576" t="s">
        <v>188</v>
      </c>
      <c r="C26" s="577" t="s">
        <v>189</v>
      </c>
      <c r="D26" s="578" t="s">
        <v>190</v>
      </c>
      <c r="E26" s="584">
        <v>210000</v>
      </c>
      <c r="F26" s="584">
        <v>210000</v>
      </c>
      <c r="G26" s="584">
        <v>0</v>
      </c>
      <c r="H26" s="584">
        <v>0</v>
      </c>
      <c r="I26" s="584">
        <v>0</v>
      </c>
      <c r="J26" s="584">
        <v>0</v>
      </c>
      <c r="K26" s="584">
        <v>0</v>
      </c>
      <c r="L26" s="584">
        <v>0</v>
      </c>
      <c r="M26" s="584">
        <v>0</v>
      </c>
      <c r="N26" s="584">
        <v>0</v>
      </c>
      <c r="O26" s="584">
        <v>0</v>
      </c>
      <c r="P26" s="584">
        <v>210000</v>
      </c>
      <c r="R26" s="397">
        <f t="shared" si="1"/>
        <v>0</v>
      </c>
      <c r="S26" s="397">
        <f t="shared" si="2"/>
        <v>0</v>
      </c>
    </row>
    <row r="27" spans="1:19" ht="31.5" x14ac:dyDescent="0.2">
      <c r="A27" s="576" t="s">
        <v>191</v>
      </c>
      <c r="B27" s="576" t="s">
        <v>192</v>
      </c>
      <c r="C27" s="577" t="s">
        <v>185</v>
      </c>
      <c r="D27" s="578" t="s">
        <v>193</v>
      </c>
      <c r="E27" s="584">
        <v>173856</v>
      </c>
      <c r="F27" s="584">
        <v>173856</v>
      </c>
      <c r="G27" s="584">
        <v>0</v>
      </c>
      <c r="H27" s="584">
        <v>0</v>
      </c>
      <c r="I27" s="584">
        <v>0</v>
      </c>
      <c r="J27" s="584">
        <v>0</v>
      </c>
      <c r="K27" s="584">
        <v>0</v>
      </c>
      <c r="L27" s="584">
        <v>0</v>
      </c>
      <c r="M27" s="584">
        <v>0</v>
      </c>
      <c r="N27" s="584">
        <v>0</v>
      </c>
      <c r="O27" s="584">
        <v>0</v>
      </c>
      <c r="P27" s="584">
        <v>173856</v>
      </c>
      <c r="R27" s="397">
        <f t="shared" si="1"/>
        <v>0</v>
      </c>
      <c r="S27" s="397">
        <f t="shared" si="2"/>
        <v>0</v>
      </c>
    </row>
    <row r="28" spans="1:19" ht="126" x14ac:dyDescent="0.2">
      <c r="A28" s="576" t="s">
        <v>194</v>
      </c>
      <c r="B28" s="576" t="s">
        <v>195</v>
      </c>
      <c r="C28" s="577" t="s">
        <v>185</v>
      </c>
      <c r="D28" s="578" t="s">
        <v>648</v>
      </c>
      <c r="E28" s="584">
        <v>0</v>
      </c>
      <c r="F28" s="584">
        <v>0</v>
      </c>
      <c r="G28" s="584">
        <v>0</v>
      </c>
      <c r="H28" s="584">
        <v>0</v>
      </c>
      <c r="I28" s="584">
        <v>0</v>
      </c>
      <c r="J28" s="584">
        <v>601000</v>
      </c>
      <c r="K28" s="584">
        <v>0</v>
      </c>
      <c r="L28" s="584">
        <v>45400</v>
      </c>
      <c r="M28" s="584">
        <v>0</v>
      </c>
      <c r="N28" s="584">
        <v>0</v>
      </c>
      <c r="O28" s="584">
        <v>555600</v>
      </c>
      <c r="P28" s="584">
        <v>601000</v>
      </c>
      <c r="R28" s="397">
        <f t="shared" si="1"/>
        <v>0</v>
      </c>
      <c r="S28" s="397">
        <f t="shared" si="2"/>
        <v>555600</v>
      </c>
    </row>
    <row r="29" spans="1:19" ht="31.5" hidden="1" x14ac:dyDescent="0.2">
      <c r="A29" s="576" t="s">
        <v>197</v>
      </c>
      <c r="B29" s="576" t="s">
        <v>198</v>
      </c>
      <c r="C29" s="577" t="s">
        <v>185</v>
      </c>
      <c r="D29" s="578" t="s">
        <v>649</v>
      </c>
      <c r="E29" s="584">
        <v>0</v>
      </c>
      <c r="F29" s="584">
        <v>0</v>
      </c>
      <c r="G29" s="584">
        <v>0</v>
      </c>
      <c r="H29" s="584">
        <v>0</v>
      </c>
      <c r="I29" s="584">
        <v>0</v>
      </c>
      <c r="J29" s="584">
        <v>0</v>
      </c>
      <c r="K29" s="584">
        <v>0</v>
      </c>
      <c r="L29" s="584">
        <v>0</v>
      </c>
      <c r="M29" s="584">
        <v>0</v>
      </c>
      <c r="N29" s="584">
        <v>0</v>
      </c>
      <c r="O29" s="584">
        <v>0</v>
      </c>
      <c r="P29" s="584">
        <v>0</v>
      </c>
      <c r="R29" s="397">
        <f t="shared" si="1"/>
        <v>0</v>
      </c>
      <c r="S29" s="397">
        <f t="shared" si="2"/>
        <v>0</v>
      </c>
    </row>
    <row r="30" spans="1:19" ht="47.25" x14ac:dyDescent="0.2">
      <c r="A30" s="576" t="s">
        <v>200</v>
      </c>
      <c r="B30" s="576" t="s">
        <v>201</v>
      </c>
      <c r="C30" s="577" t="s">
        <v>202</v>
      </c>
      <c r="D30" s="578" t="s">
        <v>203</v>
      </c>
      <c r="E30" s="584">
        <v>992300</v>
      </c>
      <c r="F30" s="584">
        <v>992300</v>
      </c>
      <c r="G30" s="584">
        <v>0</v>
      </c>
      <c r="H30" s="584">
        <v>0</v>
      </c>
      <c r="I30" s="584">
        <v>0</v>
      </c>
      <c r="J30" s="584">
        <v>0</v>
      </c>
      <c r="K30" s="584">
        <v>0</v>
      </c>
      <c r="L30" s="584">
        <v>0</v>
      </c>
      <c r="M30" s="584">
        <v>0</v>
      </c>
      <c r="N30" s="584">
        <v>0</v>
      </c>
      <c r="O30" s="584">
        <v>0</v>
      </c>
      <c r="P30" s="584">
        <v>992300</v>
      </c>
      <c r="R30" s="397">
        <f t="shared" si="1"/>
        <v>0</v>
      </c>
      <c r="S30" s="397">
        <f t="shared" si="2"/>
        <v>0</v>
      </c>
    </row>
    <row r="31" spans="1:19" ht="31.5" x14ac:dyDescent="0.2">
      <c r="A31" s="576" t="s">
        <v>204</v>
      </c>
      <c r="B31" s="576" t="s">
        <v>650</v>
      </c>
      <c r="C31" s="577" t="s">
        <v>651</v>
      </c>
      <c r="D31" s="578" t="s">
        <v>205</v>
      </c>
      <c r="E31" s="584">
        <v>18786480</v>
      </c>
      <c r="F31" s="584">
        <v>18786480</v>
      </c>
      <c r="G31" s="584">
        <v>0</v>
      </c>
      <c r="H31" s="584">
        <v>0</v>
      </c>
      <c r="I31" s="584">
        <v>0</v>
      </c>
      <c r="J31" s="584">
        <v>3008520</v>
      </c>
      <c r="K31" s="584">
        <v>3008520</v>
      </c>
      <c r="L31" s="584">
        <v>0</v>
      </c>
      <c r="M31" s="584">
        <v>0</v>
      </c>
      <c r="N31" s="584">
        <v>0</v>
      </c>
      <c r="O31" s="584">
        <v>3008520</v>
      </c>
      <c r="P31" s="584">
        <v>21795000</v>
      </c>
      <c r="R31" s="397">
        <f t="shared" si="1"/>
        <v>0</v>
      </c>
      <c r="S31" s="397">
        <f t="shared" si="2"/>
        <v>0</v>
      </c>
    </row>
    <row r="32" spans="1:19" s="556" customFormat="1" ht="33.75" customHeight="1" x14ac:dyDescent="0.25">
      <c r="A32" s="576" t="s">
        <v>677</v>
      </c>
      <c r="B32" s="576" t="s">
        <v>456</v>
      </c>
      <c r="C32" s="577" t="s">
        <v>151</v>
      </c>
      <c r="D32" s="578" t="s">
        <v>108</v>
      </c>
      <c r="E32" s="584">
        <v>4466000</v>
      </c>
      <c r="F32" s="584">
        <v>4466000</v>
      </c>
      <c r="G32" s="584">
        <v>0</v>
      </c>
      <c r="H32" s="584">
        <v>0</v>
      </c>
      <c r="I32" s="584">
        <v>0</v>
      </c>
      <c r="J32" s="584">
        <v>0</v>
      </c>
      <c r="K32" s="584">
        <v>0</v>
      </c>
      <c r="L32" s="584">
        <v>0</v>
      </c>
      <c r="M32" s="584">
        <v>0</v>
      </c>
      <c r="N32" s="584">
        <v>0</v>
      </c>
      <c r="O32" s="584">
        <v>0</v>
      </c>
      <c r="P32" s="584">
        <v>4466000</v>
      </c>
      <c r="R32" s="397">
        <f t="shared" si="1"/>
        <v>0</v>
      </c>
      <c r="S32" s="14"/>
    </row>
    <row r="33" spans="1:19" ht="63" x14ac:dyDescent="0.2">
      <c r="A33" s="576" t="s">
        <v>206</v>
      </c>
      <c r="B33" s="576" t="s">
        <v>207</v>
      </c>
      <c r="C33" s="577" t="s">
        <v>151</v>
      </c>
      <c r="D33" s="578" t="s">
        <v>208</v>
      </c>
      <c r="E33" s="584">
        <v>108865346</v>
      </c>
      <c r="F33" s="584">
        <v>108865346</v>
      </c>
      <c r="G33" s="584">
        <v>0</v>
      </c>
      <c r="H33" s="584">
        <v>0</v>
      </c>
      <c r="I33" s="584">
        <v>0</v>
      </c>
      <c r="J33" s="584">
        <v>360356274</v>
      </c>
      <c r="K33" s="584">
        <v>360356274</v>
      </c>
      <c r="L33" s="584">
        <v>0</v>
      </c>
      <c r="M33" s="584">
        <v>0</v>
      </c>
      <c r="N33" s="584">
        <v>0</v>
      </c>
      <c r="O33" s="584">
        <v>360356274</v>
      </c>
      <c r="P33" s="584">
        <v>469221620</v>
      </c>
      <c r="R33" s="397">
        <f t="shared" si="1"/>
        <v>0</v>
      </c>
      <c r="S33" s="397">
        <f t="shared" si="2"/>
        <v>0</v>
      </c>
    </row>
    <row r="34" spans="1:19" ht="47.25" x14ac:dyDescent="0.2">
      <c r="A34" s="553" t="s">
        <v>209</v>
      </c>
      <c r="B34" s="553" t="s">
        <v>210</v>
      </c>
      <c r="C34" s="557"/>
      <c r="D34" s="555" t="s">
        <v>211</v>
      </c>
      <c r="E34" s="583">
        <v>740428683.62</v>
      </c>
      <c r="F34" s="583">
        <v>740428683.62</v>
      </c>
      <c r="G34" s="583">
        <v>486773067</v>
      </c>
      <c r="H34" s="583">
        <v>53696112</v>
      </c>
      <c r="I34" s="583">
        <v>0</v>
      </c>
      <c r="J34" s="583">
        <v>60938063</v>
      </c>
      <c r="K34" s="583">
        <v>11999977</v>
      </c>
      <c r="L34" s="583">
        <v>47811486</v>
      </c>
      <c r="M34" s="583">
        <v>9142787</v>
      </c>
      <c r="N34" s="583">
        <v>2441697</v>
      </c>
      <c r="O34" s="583">
        <v>13126577</v>
      </c>
      <c r="P34" s="583">
        <v>801366746.62</v>
      </c>
      <c r="R34" s="397">
        <f t="shared" si="1"/>
        <v>0</v>
      </c>
      <c r="S34" s="397">
        <f t="shared" si="2"/>
        <v>1126600</v>
      </c>
    </row>
    <row r="35" spans="1:19" ht="63" x14ac:dyDescent="0.2">
      <c r="A35" s="553" t="s">
        <v>212</v>
      </c>
      <c r="B35" s="553"/>
      <c r="C35" s="557"/>
      <c r="D35" s="555" t="s">
        <v>213</v>
      </c>
      <c r="E35" s="583">
        <v>740428683.62</v>
      </c>
      <c r="F35" s="583">
        <v>740428683.62</v>
      </c>
      <c r="G35" s="583">
        <v>486773067</v>
      </c>
      <c r="H35" s="583">
        <v>53696112</v>
      </c>
      <c r="I35" s="583">
        <v>0</v>
      </c>
      <c r="J35" s="583">
        <v>60938063</v>
      </c>
      <c r="K35" s="583">
        <v>11999977</v>
      </c>
      <c r="L35" s="583">
        <v>47811486</v>
      </c>
      <c r="M35" s="583">
        <v>9142787</v>
      </c>
      <c r="N35" s="583">
        <v>2441697</v>
      </c>
      <c r="O35" s="583">
        <v>13126577</v>
      </c>
      <c r="P35" s="583">
        <v>801366746.62</v>
      </c>
      <c r="R35" s="397">
        <f t="shared" si="1"/>
        <v>0</v>
      </c>
      <c r="S35" s="397">
        <f t="shared" si="2"/>
        <v>1126600</v>
      </c>
    </row>
    <row r="36" spans="1:19" ht="47.25" x14ac:dyDescent="0.2">
      <c r="A36" s="576" t="s">
        <v>214</v>
      </c>
      <c r="B36" s="576" t="s">
        <v>147</v>
      </c>
      <c r="C36" s="577" t="s">
        <v>148</v>
      </c>
      <c r="D36" s="578" t="s">
        <v>645</v>
      </c>
      <c r="E36" s="584">
        <v>6113272</v>
      </c>
      <c r="F36" s="584">
        <v>6113272</v>
      </c>
      <c r="G36" s="584">
        <v>4912455</v>
      </c>
      <c r="H36" s="584">
        <v>48258</v>
      </c>
      <c r="I36" s="584">
        <v>0</v>
      </c>
      <c r="J36" s="584">
        <v>0</v>
      </c>
      <c r="K36" s="584">
        <v>0</v>
      </c>
      <c r="L36" s="584">
        <v>0</v>
      </c>
      <c r="M36" s="584">
        <v>0</v>
      </c>
      <c r="N36" s="584">
        <v>0</v>
      </c>
      <c r="O36" s="584">
        <v>0</v>
      </c>
      <c r="P36" s="584">
        <v>6113272</v>
      </c>
      <c r="R36" s="397">
        <f t="shared" si="1"/>
        <v>0</v>
      </c>
      <c r="S36" s="397">
        <f t="shared" si="2"/>
        <v>0</v>
      </c>
    </row>
    <row r="37" spans="1:19" ht="15.75" x14ac:dyDescent="0.2">
      <c r="A37" s="576" t="s">
        <v>652</v>
      </c>
      <c r="B37" s="576" t="s">
        <v>217</v>
      </c>
      <c r="C37" s="577" t="s">
        <v>218</v>
      </c>
      <c r="D37" s="578" t="s">
        <v>219</v>
      </c>
      <c r="E37" s="584">
        <v>211158480</v>
      </c>
      <c r="F37" s="584">
        <v>211158480</v>
      </c>
      <c r="G37" s="584">
        <v>134172983</v>
      </c>
      <c r="H37" s="584">
        <v>25918236</v>
      </c>
      <c r="I37" s="584">
        <v>0</v>
      </c>
      <c r="J37" s="584">
        <v>33512374</v>
      </c>
      <c r="K37" s="584">
        <v>2211861</v>
      </c>
      <c r="L37" s="584">
        <v>31300513</v>
      </c>
      <c r="M37" s="584">
        <v>499101</v>
      </c>
      <c r="N37" s="584">
        <v>133259</v>
      </c>
      <c r="O37" s="584">
        <v>2211861</v>
      </c>
      <c r="P37" s="584">
        <v>244670854</v>
      </c>
      <c r="R37" s="397">
        <f t="shared" si="1"/>
        <v>0</v>
      </c>
      <c r="S37" s="397">
        <f t="shared" si="2"/>
        <v>0</v>
      </c>
    </row>
    <row r="38" spans="1:19" ht="31.5" x14ac:dyDescent="0.2">
      <c r="A38" s="576" t="s">
        <v>220</v>
      </c>
      <c r="B38" s="576" t="s">
        <v>221</v>
      </c>
      <c r="C38" s="577" t="s">
        <v>222</v>
      </c>
      <c r="D38" s="578" t="s">
        <v>223</v>
      </c>
      <c r="E38" s="584">
        <v>143500735.62</v>
      </c>
      <c r="F38" s="584">
        <v>143500735.62</v>
      </c>
      <c r="G38" s="584">
        <v>59875969</v>
      </c>
      <c r="H38" s="584">
        <v>20929986</v>
      </c>
      <c r="I38" s="584">
        <v>0</v>
      </c>
      <c r="J38" s="584">
        <v>10773395</v>
      </c>
      <c r="K38" s="584">
        <v>9751300</v>
      </c>
      <c r="L38" s="584">
        <v>1022095</v>
      </c>
      <c r="M38" s="584">
        <v>93116</v>
      </c>
      <c r="N38" s="584">
        <v>187965</v>
      </c>
      <c r="O38" s="584">
        <v>9751300</v>
      </c>
      <c r="P38" s="584">
        <v>154274130.62</v>
      </c>
      <c r="R38" s="397">
        <f t="shared" si="1"/>
        <v>0</v>
      </c>
      <c r="S38" s="397">
        <f t="shared" si="2"/>
        <v>0</v>
      </c>
    </row>
    <row r="39" spans="1:19" ht="31.5" x14ac:dyDescent="0.2">
      <c r="A39" s="576" t="s">
        <v>224</v>
      </c>
      <c r="B39" s="576" t="s">
        <v>225</v>
      </c>
      <c r="C39" s="577" t="s">
        <v>222</v>
      </c>
      <c r="D39" s="578" t="s">
        <v>223</v>
      </c>
      <c r="E39" s="584">
        <v>263648000</v>
      </c>
      <c r="F39" s="584">
        <v>263648000</v>
      </c>
      <c r="G39" s="584">
        <v>214945693</v>
      </c>
      <c r="H39" s="584">
        <v>0</v>
      </c>
      <c r="I39" s="584">
        <v>0</v>
      </c>
      <c r="J39" s="584">
        <v>0</v>
      </c>
      <c r="K39" s="584">
        <v>0</v>
      </c>
      <c r="L39" s="584">
        <v>0</v>
      </c>
      <c r="M39" s="584">
        <v>0</v>
      </c>
      <c r="N39" s="584">
        <v>0</v>
      </c>
      <c r="O39" s="584">
        <v>0</v>
      </c>
      <c r="P39" s="584">
        <v>263648000</v>
      </c>
      <c r="R39" s="397">
        <f t="shared" si="1"/>
        <v>0</v>
      </c>
      <c r="S39" s="397">
        <f t="shared" si="2"/>
        <v>0</v>
      </c>
    </row>
    <row r="40" spans="1:19" ht="47.25" x14ac:dyDescent="0.2">
      <c r="A40" s="576" t="s">
        <v>233</v>
      </c>
      <c r="B40" s="576" t="s">
        <v>234</v>
      </c>
      <c r="C40" s="577" t="s">
        <v>235</v>
      </c>
      <c r="D40" s="578" t="s">
        <v>653</v>
      </c>
      <c r="E40" s="584">
        <v>10666150</v>
      </c>
      <c r="F40" s="584">
        <v>10666150</v>
      </c>
      <c r="G40" s="584">
        <v>8162089</v>
      </c>
      <c r="H40" s="584">
        <v>362641</v>
      </c>
      <c r="I40" s="584">
        <v>0</v>
      </c>
      <c r="J40" s="584">
        <v>171648</v>
      </c>
      <c r="K40" s="584">
        <v>0</v>
      </c>
      <c r="L40" s="584">
        <v>171648</v>
      </c>
      <c r="M40" s="584">
        <v>0</v>
      </c>
      <c r="N40" s="584">
        <v>47426</v>
      </c>
      <c r="O40" s="584">
        <v>0</v>
      </c>
      <c r="P40" s="584">
        <v>10837798</v>
      </c>
      <c r="R40" s="397">
        <f t="shared" si="1"/>
        <v>0</v>
      </c>
      <c r="S40" s="397">
        <f t="shared" si="2"/>
        <v>0</v>
      </c>
    </row>
    <row r="41" spans="1:19" ht="31.5" x14ac:dyDescent="0.2">
      <c r="A41" s="576" t="s">
        <v>237</v>
      </c>
      <c r="B41" s="576" t="s">
        <v>238</v>
      </c>
      <c r="C41" s="577" t="s">
        <v>235</v>
      </c>
      <c r="D41" s="578" t="s">
        <v>633</v>
      </c>
      <c r="E41" s="584">
        <v>28236586</v>
      </c>
      <c r="F41" s="584">
        <v>28236586</v>
      </c>
      <c r="G41" s="584">
        <v>22194657</v>
      </c>
      <c r="H41" s="584">
        <v>673115</v>
      </c>
      <c r="I41" s="584">
        <v>0</v>
      </c>
      <c r="J41" s="584">
        <v>3972000</v>
      </c>
      <c r="K41" s="584">
        <v>0</v>
      </c>
      <c r="L41" s="584">
        <v>3972000</v>
      </c>
      <c r="M41" s="584">
        <v>3174344</v>
      </c>
      <c r="N41" s="584">
        <v>9000</v>
      </c>
      <c r="O41" s="584">
        <v>0</v>
      </c>
      <c r="P41" s="584">
        <v>32208586</v>
      </c>
      <c r="R41" s="397">
        <f t="shared" si="1"/>
        <v>0</v>
      </c>
      <c r="S41" s="397">
        <f t="shared" si="2"/>
        <v>0</v>
      </c>
    </row>
    <row r="42" spans="1:19" ht="31.5" x14ac:dyDescent="0.2">
      <c r="A42" s="576" t="s">
        <v>244</v>
      </c>
      <c r="B42" s="576" t="s">
        <v>245</v>
      </c>
      <c r="C42" s="577" t="s">
        <v>242</v>
      </c>
      <c r="D42" s="578" t="s">
        <v>246</v>
      </c>
      <c r="E42" s="584">
        <v>17410174</v>
      </c>
      <c r="F42" s="584">
        <v>17410174</v>
      </c>
      <c r="G42" s="584">
        <v>13946416</v>
      </c>
      <c r="H42" s="584">
        <v>151649</v>
      </c>
      <c r="I42" s="584">
        <v>0</v>
      </c>
      <c r="J42" s="584">
        <v>162606</v>
      </c>
      <c r="K42" s="584">
        <v>0</v>
      </c>
      <c r="L42" s="584">
        <v>162606</v>
      </c>
      <c r="M42" s="584">
        <v>92051</v>
      </c>
      <c r="N42" s="584">
        <v>0</v>
      </c>
      <c r="O42" s="584">
        <v>0</v>
      </c>
      <c r="P42" s="584">
        <v>17572780</v>
      </c>
      <c r="R42" s="397">
        <f t="shared" si="1"/>
        <v>0</v>
      </c>
      <c r="S42" s="397">
        <f t="shared" si="2"/>
        <v>0</v>
      </c>
    </row>
    <row r="43" spans="1:19" ht="15.75" x14ac:dyDescent="0.2">
      <c r="A43" s="576" t="s">
        <v>247</v>
      </c>
      <c r="B43" s="576" t="s">
        <v>248</v>
      </c>
      <c r="C43" s="577" t="s">
        <v>242</v>
      </c>
      <c r="D43" s="578" t="s">
        <v>249</v>
      </c>
      <c r="E43" s="584">
        <v>10730426</v>
      </c>
      <c r="F43" s="584">
        <v>10730426</v>
      </c>
      <c r="G43" s="584">
        <v>0</v>
      </c>
      <c r="H43" s="584">
        <v>0</v>
      </c>
      <c r="I43" s="584">
        <v>0</v>
      </c>
      <c r="J43" s="584">
        <v>0</v>
      </c>
      <c r="K43" s="584">
        <v>0</v>
      </c>
      <c r="L43" s="584">
        <v>0</v>
      </c>
      <c r="M43" s="584">
        <v>0</v>
      </c>
      <c r="N43" s="584">
        <v>0</v>
      </c>
      <c r="O43" s="584">
        <v>0</v>
      </c>
      <c r="P43" s="584">
        <v>10730426</v>
      </c>
      <c r="R43" s="397">
        <f t="shared" si="1"/>
        <v>0</v>
      </c>
      <c r="S43" s="397">
        <f t="shared" si="2"/>
        <v>0</v>
      </c>
    </row>
    <row r="44" spans="1:19" ht="47.25" x14ac:dyDescent="0.2">
      <c r="A44" s="576" t="s">
        <v>250</v>
      </c>
      <c r="B44" s="576" t="s">
        <v>251</v>
      </c>
      <c r="C44" s="577" t="s">
        <v>242</v>
      </c>
      <c r="D44" s="578" t="s">
        <v>252</v>
      </c>
      <c r="E44" s="584">
        <v>1852852</v>
      </c>
      <c r="F44" s="584">
        <v>1852852</v>
      </c>
      <c r="G44" s="584">
        <v>1108271</v>
      </c>
      <c r="H44" s="584">
        <v>199670</v>
      </c>
      <c r="I44" s="584">
        <v>0</v>
      </c>
      <c r="J44" s="584">
        <v>69212</v>
      </c>
      <c r="K44" s="584">
        <v>36816</v>
      </c>
      <c r="L44" s="584">
        <v>32396</v>
      </c>
      <c r="M44" s="584">
        <v>0</v>
      </c>
      <c r="N44" s="584">
        <v>32394</v>
      </c>
      <c r="O44" s="584">
        <v>36816</v>
      </c>
      <c r="P44" s="584">
        <v>1922064</v>
      </c>
      <c r="R44" s="397">
        <f t="shared" si="1"/>
        <v>0</v>
      </c>
      <c r="S44" s="397">
        <f t="shared" si="2"/>
        <v>0</v>
      </c>
    </row>
    <row r="45" spans="1:19" ht="47.25" x14ac:dyDescent="0.2">
      <c r="A45" s="576" t="s">
        <v>253</v>
      </c>
      <c r="B45" s="576" t="s">
        <v>254</v>
      </c>
      <c r="C45" s="577" t="s">
        <v>242</v>
      </c>
      <c r="D45" s="578" t="s">
        <v>255</v>
      </c>
      <c r="E45" s="584">
        <v>1514200</v>
      </c>
      <c r="F45" s="584">
        <v>1514200</v>
      </c>
      <c r="G45" s="584">
        <v>1241144</v>
      </c>
      <c r="H45" s="584">
        <v>0</v>
      </c>
      <c r="I45" s="584">
        <v>0</v>
      </c>
      <c r="J45" s="584">
        <v>0</v>
      </c>
      <c r="K45" s="584">
        <v>0</v>
      </c>
      <c r="L45" s="584">
        <v>0</v>
      </c>
      <c r="M45" s="584">
        <v>0</v>
      </c>
      <c r="N45" s="584">
        <v>0</v>
      </c>
      <c r="O45" s="584">
        <v>0</v>
      </c>
      <c r="P45" s="584">
        <v>1514200</v>
      </c>
      <c r="R45" s="397">
        <f t="shared" si="1"/>
        <v>0</v>
      </c>
      <c r="S45" s="397">
        <f t="shared" si="2"/>
        <v>0</v>
      </c>
    </row>
    <row r="46" spans="1:19" ht="47.25" x14ac:dyDescent="0.2">
      <c r="A46" s="576" t="s">
        <v>256</v>
      </c>
      <c r="B46" s="576" t="s">
        <v>257</v>
      </c>
      <c r="C46" s="577" t="s">
        <v>242</v>
      </c>
      <c r="D46" s="578" t="s">
        <v>258</v>
      </c>
      <c r="E46" s="584">
        <v>3481109</v>
      </c>
      <c r="F46" s="584">
        <v>3481109</v>
      </c>
      <c r="G46" s="584">
        <v>2808508</v>
      </c>
      <c r="H46" s="584">
        <v>6887</v>
      </c>
      <c r="I46" s="584">
        <v>0</v>
      </c>
      <c r="J46" s="584">
        <v>0</v>
      </c>
      <c r="K46" s="584">
        <v>0</v>
      </c>
      <c r="L46" s="584">
        <v>0</v>
      </c>
      <c r="M46" s="584">
        <v>0</v>
      </c>
      <c r="N46" s="584">
        <v>0</v>
      </c>
      <c r="O46" s="584">
        <v>0</v>
      </c>
      <c r="P46" s="584">
        <v>3481109</v>
      </c>
      <c r="R46" s="397">
        <f t="shared" si="1"/>
        <v>0</v>
      </c>
      <c r="S46" s="397">
        <f t="shared" si="2"/>
        <v>0</v>
      </c>
    </row>
    <row r="47" spans="1:19" ht="78.75" x14ac:dyDescent="0.2">
      <c r="A47" s="576" t="s">
        <v>269</v>
      </c>
      <c r="B47" s="576" t="s">
        <v>270</v>
      </c>
      <c r="C47" s="577" t="s">
        <v>242</v>
      </c>
      <c r="D47" s="578" t="s">
        <v>654</v>
      </c>
      <c r="E47" s="584">
        <v>2408900</v>
      </c>
      <c r="F47" s="584">
        <v>2408900</v>
      </c>
      <c r="G47" s="584">
        <v>1486553</v>
      </c>
      <c r="H47" s="584">
        <v>0</v>
      </c>
      <c r="I47" s="584">
        <v>0</v>
      </c>
      <c r="J47" s="584">
        <v>0</v>
      </c>
      <c r="K47" s="584">
        <v>0</v>
      </c>
      <c r="L47" s="584">
        <v>0</v>
      </c>
      <c r="M47" s="584">
        <v>0</v>
      </c>
      <c r="N47" s="584">
        <v>0</v>
      </c>
      <c r="O47" s="584">
        <v>0</v>
      </c>
      <c r="P47" s="584">
        <v>2408900</v>
      </c>
      <c r="R47" s="397">
        <f t="shared" si="1"/>
        <v>0</v>
      </c>
      <c r="S47" s="397">
        <f t="shared" si="2"/>
        <v>0</v>
      </c>
    </row>
    <row r="48" spans="1:19" ht="63" x14ac:dyDescent="0.2">
      <c r="A48" s="576" t="s">
        <v>272</v>
      </c>
      <c r="B48" s="576" t="s">
        <v>273</v>
      </c>
      <c r="C48" s="577" t="s">
        <v>173</v>
      </c>
      <c r="D48" s="578" t="s">
        <v>655</v>
      </c>
      <c r="E48" s="584">
        <v>195800</v>
      </c>
      <c r="F48" s="584">
        <v>195800</v>
      </c>
      <c r="G48" s="584">
        <v>0</v>
      </c>
      <c r="H48" s="584">
        <v>0</v>
      </c>
      <c r="I48" s="584">
        <v>0</v>
      </c>
      <c r="J48" s="584">
        <v>0</v>
      </c>
      <c r="K48" s="584">
        <v>0</v>
      </c>
      <c r="L48" s="584">
        <v>0</v>
      </c>
      <c r="M48" s="584">
        <v>0</v>
      </c>
      <c r="N48" s="584">
        <v>0</v>
      </c>
      <c r="O48" s="584">
        <v>0</v>
      </c>
      <c r="P48" s="584">
        <v>195800</v>
      </c>
      <c r="R48" s="397">
        <f t="shared" si="1"/>
        <v>0</v>
      </c>
      <c r="S48" s="397">
        <f t="shared" si="2"/>
        <v>0</v>
      </c>
    </row>
    <row r="49" spans="1:19" ht="94.5" x14ac:dyDescent="0.2">
      <c r="A49" s="576" t="s">
        <v>275</v>
      </c>
      <c r="B49" s="576" t="s">
        <v>276</v>
      </c>
      <c r="C49" s="577" t="s">
        <v>173</v>
      </c>
      <c r="D49" s="578" t="s">
        <v>656</v>
      </c>
      <c r="E49" s="584">
        <v>714700</v>
      </c>
      <c r="F49" s="584">
        <v>714700</v>
      </c>
      <c r="G49" s="584">
        <v>0</v>
      </c>
      <c r="H49" s="584">
        <v>0</v>
      </c>
      <c r="I49" s="584">
        <v>0</v>
      </c>
      <c r="J49" s="584">
        <v>0</v>
      </c>
      <c r="K49" s="584">
        <v>0</v>
      </c>
      <c r="L49" s="584">
        <v>0</v>
      </c>
      <c r="M49" s="584">
        <v>0</v>
      </c>
      <c r="N49" s="584">
        <v>0</v>
      </c>
      <c r="O49" s="584">
        <v>0</v>
      </c>
      <c r="P49" s="584">
        <v>714700</v>
      </c>
      <c r="R49" s="397">
        <f t="shared" si="1"/>
        <v>0</v>
      </c>
      <c r="S49" s="397">
        <f t="shared" si="2"/>
        <v>0</v>
      </c>
    </row>
    <row r="50" spans="1:19" ht="15.75" x14ac:dyDescent="0.2">
      <c r="A50" s="576" t="s">
        <v>278</v>
      </c>
      <c r="B50" s="576" t="s">
        <v>279</v>
      </c>
      <c r="C50" s="577" t="s">
        <v>280</v>
      </c>
      <c r="D50" s="578" t="s">
        <v>281</v>
      </c>
      <c r="E50" s="584">
        <v>8843403</v>
      </c>
      <c r="F50" s="584">
        <v>8843403</v>
      </c>
      <c r="G50" s="584">
        <v>6592861</v>
      </c>
      <c r="H50" s="584">
        <v>724537</v>
      </c>
      <c r="I50" s="584">
        <v>0</v>
      </c>
      <c r="J50" s="584">
        <v>540900</v>
      </c>
      <c r="K50" s="584">
        <v>0</v>
      </c>
      <c r="L50" s="584">
        <v>537900</v>
      </c>
      <c r="M50" s="584">
        <v>248028</v>
      </c>
      <c r="N50" s="584">
        <v>8000</v>
      </c>
      <c r="O50" s="584">
        <v>3000</v>
      </c>
      <c r="P50" s="584">
        <v>9384303</v>
      </c>
      <c r="R50" s="397">
        <f t="shared" si="1"/>
        <v>0</v>
      </c>
      <c r="S50" s="397">
        <f t="shared" si="2"/>
        <v>3000</v>
      </c>
    </row>
    <row r="51" spans="1:19" ht="15.75" x14ac:dyDescent="0.2">
      <c r="A51" s="576" t="s">
        <v>282</v>
      </c>
      <c r="B51" s="576" t="s">
        <v>283</v>
      </c>
      <c r="C51" s="577" t="s">
        <v>284</v>
      </c>
      <c r="D51" s="578" t="s">
        <v>285</v>
      </c>
      <c r="E51" s="584">
        <v>3960806</v>
      </c>
      <c r="F51" s="584">
        <v>3960806</v>
      </c>
      <c r="G51" s="584">
        <v>2758740</v>
      </c>
      <c r="H51" s="584">
        <v>479959</v>
      </c>
      <c r="I51" s="584">
        <v>0</v>
      </c>
      <c r="J51" s="584">
        <v>117600</v>
      </c>
      <c r="K51" s="584">
        <v>0</v>
      </c>
      <c r="L51" s="584">
        <v>117600</v>
      </c>
      <c r="M51" s="584">
        <v>0</v>
      </c>
      <c r="N51" s="584">
        <v>65000</v>
      </c>
      <c r="O51" s="584">
        <v>0</v>
      </c>
      <c r="P51" s="584">
        <v>4078406</v>
      </c>
      <c r="R51" s="397">
        <f t="shared" si="1"/>
        <v>0</v>
      </c>
      <c r="S51" s="397">
        <f t="shared" si="2"/>
        <v>0</v>
      </c>
    </row>
    <row r="52" spans="1:19" ht="31.5" x14ac:dyDescent="0.2">
      <c r="A52" s="576" t="s">
        <v>657</v>
      </c>
      <c r="B52" s="576" t="s">
        <v>658</v>
      </c>
      <c r="C52" s="577" t="s">
        <v>284</v>
      </c>
      <c r="D52" s="578" t="s">
        <v>659</v>
      </c>
      <c r="E52" s="584">
        <v>0</v>
      </c>
      <c r="F52" s="584">
        <v>0</v>
      </c>
      <c r="G52" s="584">
        <v>0</v>
      </c>
      <c r="H52" s="584">
        <v>0</v>
      </c>
      <c r="I52" s="584">
        <v>0</v>
      </c>
      <c r="J52" s="584">
        <v>10900000</v>
      </c>
      <c r="K52" s="584">
        <v>0</v>
      </c>
      <c r="L52" s="584">
        <v>9776400</v>
      </c>
      <c r="M52" s="584">
        <v>5000000</v>
      </c>
      <c r="N52" s="584">
        <v>1740000</v>
      </c>
      <c r="O52" s="584">
        <v>1123600</v>
      </c>
      <c r="P52" s="584">
        <v>10900000</v>
      </c>
      <c r="R52" s="397">
        <f t="shared" si="1"/>
        <v>0</v>
      </c>
      <c r="S52" s="397">
        <f t="shared" si="2"/>
        <v>1123600</v>
      </c>
    </row>
    <row r="53" spans="1:19" ht="47.25" x14ac:dyDescent="0.2">
      <c r="A53" s="576" t="s">
        <v>286</v>
      </c>
      <c r="B53" s="576" t="s">
        <v>287</v>
      </c>
      <c r="C53" s="577" t="s">
        <v>288</v>
      </c>
      <c r="D53" s="578" t="s">
        <v>660</v>
      </c>
      <c r="E53" s="584">
        <v>7912711</v>
      </c>
      <c r="F53" s="584">
        <v>7912711</v>
      </c>
      <c r="G53" s="584">
        <v>4313574</v>
      </c>
      <c r="H53" s="584">
        <v>1793130</v>
      </c>
      <c r="I53" s="584">
        <v>0</v>
      </c>
      <c r="J53" s="584">
        <v>202300</v>
      </c>
      <c r="K53" s="584">
        <v>0</v>
      </c>
      <c r="L53" s="584">
        <v>202300</v>
      </c>
      <c r="M53" s="584">
        <v>36147</v>
      </c>
      <c r="N53" s="584">
        <v>16000</v>
      </c>
      <c r="O53" s="584">
        <v>0</v>
      </c>
      <c r="P53" s="584">
        <v>8115011</v>
      </c>
      <c r="R53" s="397">
        <f t="shared" si="1"/>
        <v>0</v>
      </c>
      <c r="S53" s="397">
        <f t="shared" si="2"/>
        <v>0</v>
      </c>
    </row>
    <row r="54" spans="1:19" ht="31.5" x14ac:dyDescent="0.2">
      <c r="A54" s="576" t="s">
        <v>290</v>
      </c>
      <c r="B54" s="576" t="s">
        <v>291</v>
      </c>
      <c r="C54" s="577" t="s">
        <v>292</v>
      </c>
      <c r="D54" s="578" t="s">
        <v>293</v>
      </c>
      <c r="E54" s="584">
        <v>1150000</v>
      </c>
      <c r="F54" s="584">
        <v>1150000</v>
      </c>
      <c r="G54" s="584">
        <v>0</v>
      </c>
      <c r="H54" s="584">
        <v>0</v>
      </c>
      <c r="I54" s="584">
        <v>0</v>
      </c>
      <c r="J54" s="584">
        <v>0</v>
      </c>
      <c r="K54" s="584">
        <v>0</v>
      </c>
      <c r="L54" s="584">
        <v>0</v>
      </c>
      <c r="M54" s="584">
        <v>0</v>
      </c>
      <c r="N54" s="584">
        <v>0</v>
      </c>
      <c r="O54" s="584">
        <v>0</v>
      </c>
      <c r="P54" s="584">
        <v>1150000</v>
      </c>
      <c r="R54" s="397">
        <f t="shared" si="1"/>
        <v>0</v>
      </c>
      <c r="S54" s="397">
        <f t="shared" si="2"/>
        <v>0</v>
      </c>
    </row>
    <row r="55" spans="1:19" ht="47.25" x14ac:dyDescent="0.2">
      <c r="A55" s="576" t="s">
        <v>294</v>
      </c>
      <c r="B55" s="576" t="s">
        <v>295</v>
      </c>
      <c r="C55" s="577" t="s">
        <v>296</v>
      </c>
      <c r="D55" s="578" t="s">
        <v>297</v>
      </c>
      <c r="E55" s="584">
        <v>630690</v>
      </c>
      <c r="F55" s="584">
        <v>630690</v>
      </c>
      <c r="G55" s="584">
        <v>0</v>
      </c>
      <c r="H55" s="584">
        <v>0</v>
      </c>
      <c r="I55" s="584">
        <v>0</v>
      </c>
      <c r="J55" s="584">
        <v>0</v>
      </c>
      <c r="K55" s="584">
        <v>0</v>
      </c>
      <c r="L55" s="584">
        <v>0</v>
      </c>
      <c r="M55" s="584">
        <v>0</v>
      </c>
      <c r="N55" s="584">
        <v>0</v>
      </c>
      <c r="O55" s="584">
        <v>0</v>
      </c>
      <c r="P55" s="584">
        <v>630690</v>
      </c>
      <c r="R55" s="397">
        <f t="shared" si="1"/>
        <v>0</v>
      </c>
      <c r="S55" s="397">
        <f t="shared" si="2"/>
        <v>0</v>
      </c>
    </row>
    <row r="56" spans="1:19" ht="47.25" x14ac:dyDescent="0.2">
      <c r="A56" s="576" t="s">
        <v>298</v>
      </c>
      <c r="B56" s="576" t="s">
        <v>299</v>
      </c>
      <c r="C56" s="577" t="s">
        <v>296</v>
      </c>
      <c r="D56" s="578" t="s">
        <v>300</v>
      </c>
      <c r="E56" s="584">
        <v>88438</v>
      </c>
      <c r="F56" s="584">
        <v>88438</v>
      </c>
      <c r="G56" s="584">
        <v>0</v>
      </c>
      <c r="H56" s="584">
        <v>0</v>
      </c>
      <c r="I56" s="584">
        <v>0</v>
      </c>
      <c r="J56" s="584">
        <v>0</v>
      </c>
      <c r="K56" s="584">
        <v>0</v>
      </c>
      <c r="L56" s="584">
        <v>0</v>
      </c>
      <c r="M56" s="584">
        <v>0</v>
      </c>
      <c r="N56" s="584">
        <v>0</v>
      </c>
      <c r="O56" s="584">
        <v>0</v>
      </c>
      <c r="P56" s="584">
        <v>88438</v>
      </c>
      <c r="R56" s="397">
        <f t="shared" si="1"/>
        <v>0</v>
      </c>
      <c r="S56" s="397">
        <f t="shared" si="2"/>
        <v>0</v>
      </c>
    </row>
    <row r="57" spans="1:19" ht="25.5" customHeight="1" x14ac:dyDescent="0.2">
      <c r="A57" s="576" t="s">
        <v>301</v>
      </c>
      <c r="B57" s="576" t="s">
        <v>302</v>
      </c>
      <c r="C57" s="577" t="s">
        <v>296</v>
      </c>
      <c r="D57" s="578" t="s">
        <v>661</v>
      </c>
      <c r="E57" s="584">
        <v>14951251</v>
      </c>
      <c r="F57" s="584">
        <v>14951251</v>
      </c>
      <c r="G57" s="584">
        <v>8253154</v>
      </c>
      <c r="H57" s="584">
        <v>2408044</v>
      </c>
      <c r="I57" s="584">
        <v>0</v>
      </c>
      <c r="J57" s="584">
        <v>516028</v>
      </c>
      <c r="K57" s="584">
        <v>0</v>
      </c>
      <c r="L57" s="584">
        <v>516028</v>
      </c>
      <c r="M57" s="584">
        <v>0</v>
      </c>
      <c r="N57" s="584">
        <v>202653</v>
      </c>
      <c r="O57" s="584">
        <v>0</v>
      </c>
      <c r="P57" s="584">
        <v>15467279</v>
      </c>
      <c r="R57" s="397">
        <f t="shared" si="1"/>
        <v>0</v>
      </c>
      <c r="S57" s="397">
        <f t="shared" si="2"/>
        <v>0</v>
      </c>
    </row>
    <row r="58" spans="1:19" ht="63" x14ac:dyDescent="0.2">
      <c r="A58" s="576" t="s">
        <v>304</v>
      </c>
      <c r="B58" s="576" t="s">
        <v>305</v>
      </c>
      <c r="C58" s="577" t="s">
        <v>296</v>
      </c>
      <c r="D58" s="578" t="s">
        <v>306</v>
      </c>
      <c r="E58" s="584">
        <v>1260000</v>
      </c>
      <c r="F58" s="584">
        <v>1260000</v>
      </c>
      <c r="G58" s="584">
        <v>0</v>
      </c>
      <c r="H58" s="584">
        <v>0</v>
      </c>
      <c r="I58" s="584">
        <v>0</v>
      </c>
      <c r="J58" s="584">
        <v>0</v>
      </c>
      <c r="K58" s="584">
        <v>0</v>
      </c>
      <c r="L58" s="584">
        <v>0</v>
      </c>
      <c r="M58" s="584">
        <v>0</v>
      </c>
      <c r="N58" s="584">
        <v>0</v>
      </c>
      <c r="O58" s="584">
        <v>0</v>
      </c>
      <c r="P58" s="584">
        <v>1260000</v>
      </c>
      <c r="R58" s="397">
        <f t="shared" si="1"/>
        <v>0</v>
      </c>
      <c r="S58" s="397">
        <f t="shared" si="2"/>
        <v>0</v>
      </c>
    </row>
    <row r="59" spans="1:19" ht="53.25" customHeight="1" x14ac:dyDescent="0.2">
      <c r="A59" s="553" t="s">
        <v>307</v>
      </c>
      <c r="B59" s="553" t="s">
        <v>308</v>
      </c>
      <c r="C59" s="554"/>
      <c r="D59" s="555" t="s">
        <v>309</v>
      </c>
      <c r="E59" s="583">
        <v>63731099</v>
      </c>
      <c r="F59" s="583">
        <v>63731099</v>
      </c>
      <c r="G59" s="583">
        <v>15681761</v>
      </c>
      <c r="H59" s="583">
        <v>315000</v>
      </c>
      <c r="I59" s="583">
        <v>0</v>
      </c>
      <c r="J59" s="583">
        <v>0</v>
      </c>
      <c r="K59" s="583">
        <v>0</v>
      </c>
      <c r="L59" s="583">
        <v>0</v>
      </c>
      <c r="M59" s="583">
        <v>0</v>
      </c>
      <c r="N59" s="583">
        <v>0</v>
      </c>
      <c r="O59" s="583">
        <v>0</v>
      </c>
      <c r="P59" s="583">
        <v>63731099</v>
      </c>
      <c r="R59" s="397">
        <f t="shared" si="1"/>
        <v>0</v>
      </c>
      <c r="S59" s="397">
        <f t="shared" si="2"/>
        <v>0</v>
      </c>
    </row>
    <row r="60" spans="1:19" ht="53.25" customHeight="1" x14ac:dyDescent="0.2">
      <c r="A60" s="553" t="s">
        <v>310</v>
      </c>
      <c r="B60" s="553"/>
      <c r="C60" s="554"/>
      <c r="D60" s="558" t="s">
        <v>311</v>
      </c>
      <c r="E60" s="583">
        <v>63731099</v>
      </c>
      <c r="F60" s="583">
        <v>63731099</v>
      </c>
      <c r="G60" s="583">
        <v>15681761</v>
      </c>
      <c r="H60" s="583">
        <v>315000</v>
      </c>
      <c r="I60" s="583">
        <v>0</v>
      </c>
      <c r="J60" s="583">
        <v>0</v>
      </c>
      <c r="K60" s="583">
        <v>0</v>
      </c>
      <c r="L60" s="583">
        <v>0</v>
      </c>
      <c r="M60" s="583">
        <v>0</v>
      </c>
      <c r="N60" s="583">
        <v>0</v>
      </c>
      <c r="O60" s="583">
        <v>0</v>
      </c>
      <c r="P60" s="583">
        <v>63731099</v>
      </c>
      <c r="R60" s="397">
        <f t="shared" si="1"/>
        <v>0</v>
      </c>
      <c r="S60" s="397">
        <f t="shared" si="2"/>
        <v>0</v>
      </c>
    </row>
    <row r="61" spans="1:19" ht="47.25" x14ac:dyDescent="0.2">
      <c r="A61" s="576" t="s">
        <v>312</v>
      </c>
      <c r="B61" s="576" t="s">
        <v>147</v>
      </c>
      <c r="C61" s="577" t="s">
        <v>148</v>
      </c>
      <c r="D61" s="578" t="s">
        <v>645</v>
      </c>
      <c r="E61" s="584">
        <v>15711126</v>
      </c>
      <c r="F61" s="584">
        <v>15711126</v>
      </c>
      <c r="G61" s="584">
        <v>12283710</v>
      </c>
      <c r="H61" s="584">
        <v>315000</v>
      </c>
      <c r="I61" s="584">
        <v>0</v>
      </c>
      <c r="J61" s="584">
        <v>0</v>
      </c>
      <c r="K61" s="584">
        <v>0</v>
      </c>
      <c r="L61" s="584">
        <v>0</v>
      </c>
      <c r="M61" s="584">
        <v>0</v>
      </c>
      <c r="N61" s="584">
        <v>0</v>
      </c>
      <c r="O61" s="584">
        <v>0</v>
      </c>
      <c r="P61" s="584">
        <v>15711126</v>
      </c>
      <c r="R61" s="397">
        <f t="shared" si="1"/>
        <v>0</v>
      </c>
      <c r="S61" s="397">
        <f t="shared" si="2"/>
        <v>0</v>
      </c>
    </row>
    <row r="62" spans="1:19" ht="31.5" x14ac:dyDescent="0.2">
      <c r="A62" s="576" t="s">
        <v>313</v>
      </c>
      <c r="B62" s="576" t="s">
        <v>151</v>
      </c>
      <c r="C62" s="577" t="s">
        <v>152</v>
      </c>
      <c r="D62" s="578" t="s">
        <v>153</v>
      </c>
      <c r="E62" s="584">
        <v>30000</v>
      </c>
      <c r="F62" s="584">
        <v>30000</v>
      </c>
      <c r="G62" s="584">
        <v>0</v>
      </c>
      <c r="H62" s="584">
        <v>0</v>
      </c>
      <c r="I62" s="584">
        <v>0</v>
      </c>
      <c r="J62" s="584">
        <v>0</v>
      </c>
      <c r="K62" s="584">
        <v>0</v>
      </c>
      <c r="L62" s="584">
        <v>0</v>
      </c>
      <c r="M62" s="584">
        <v>0</v>
      </c>
      <c r="N62" s="584">
        <v>0</v>
      </c>
      <c r="O62" s="584">
        <v>0</v>
      </c>
      <c r="P62" s="584">
        <v>30000</v>
      </c>
      <c r="R62" s="397">
        <f t="shared" si="1"/>
        <v>0</v>
      </c>
      <c r="S62" s="397">
        <f t="shared" si="2"/>
        <v>0</v>
      </c>
    </row>
    <row r="63" spans="1:19" ht="31.5" x14ac:dyDescent="0.2">
      <c r="A63" s="576" t="s">
        <v>314</v>
      </c>
      <c r="B63" s="576" t="s">
        <v>315</v>
      </c>
      <c r="C63" s="577" t="s">
        <v>234</v>
      </c>
      <c r="D63" s="578" t="s">
        <v>662</v>
      </c>
      <c r="E63" s="584">
        <v>100000</v>
      </c>
      <c r="F63" s="584">
        <v>100000</v>
      </c>
      <c r="G63" s="584">
        <v>0</v>
      </c>
      <c r="H63" s="584">
        <v>0</v>
      </c>
      <c r="I63" s="584">
        <v>0</v>
      </c>
      <c r="J63" s="584">
        <v>0</v>
      </c>
      <c r="K63" s="584">
        <v>0</v>
      </c>
      <c r="L63" s="584">
        <v>0</v>
      </c>
      <c r="M63" s="584">
        <v>0</v>
      </c>
      <c r="N63" s="584">
        <v>0</v>
      </c>
      <c r="O63" s="584">
        <v>0</v>
      </c>
      <c r="P63" s="584">
        <v>100000</v>
      </c>
      <c r="R63" s="397">
        <f t="shared" si="1"/>
        <v>0</v>
      </c>
      <c r="S63" s="397">
        <f t="shared" si="2"/>
        <v>0</v>
      </c>
    </row>
    <row r="64" spans="1:19" ht="47.25" x14ac:dyDescent="0.2">
      <c r="A64" s="576" t="s">
        <v>317</v>
      </c>
      <c r="B64" s="576" t="s">
        <v>318</v>
      </c>
      <c r="C64" s="577" t="s">
        <v>234</v>
      </c>
      <c r="D64" s="578" t="s">
        <v>663</v>
      </c>
      <c r="E64" s="584">
        <v>14000000</v>
      </c>
      <c r="F64" s="584">
        <v>14000000</v>
      </c>
      <c r="G64" s="584">
        <v>0</v>
      </c>
      <c r="H64" s="584">
        <v>0</v>
      </c>
      <c r="I64" s="584">
        <v>0</v>
      </c>
      <c r="J64" s="584">
        <v>0</v>
      </c>
      <c r="K64" s="584">
        <v>0</v>
      </c>
      <c r="L64" s="584">
        <v>0</v>
      </c>
      <c r="M64" s="584">
        <v>0</v>
      </c>
      <c r="N64" s="584">
        <v>0</v>
      </c>
      <c r="O64" s="584">
        <v>0</v>
      </c>
      <c r="P64" s="584">
        <v>14000000</v>
      </c>
      <c r="R64" s="397">
        <f t="shared" si="1"/>
        <v>0</v>
      </c>
      <c r="S64" s="397">
        <f t="shared" si="2"/>
        <v>0</v>
      </c>
    </row>
    <row r="65" spans="1:19" ht="47.25" x14ac:dyDescent="0.2">
      <c r="A65" s="576" t="s">
        <v>320</v>
      </c>
      <c r="B65" s="576" t="s">
        <v>321</v>
      </c>
      <c r="C65" s="577" t="s">
        <v>234</v>
      </c>
      <c r="D65" s="578" t="s">
        <v>664</v>
      </c>
      <c r="E65" s="584">
        <v>760000</v>
      </c>
      <c r="F65" s="584">
        <v>760000</v>
      </c>
      <c r="G65" s="584">
        <v>0</v>
      </c>
      <c r="H65" s="584">
        <v>0</v>
      </c>
      <c r="I65" s="584">
        <v>0</v>
      </c>
      <c r="J65" s="584">
        <v>0</v>
      </c>
      <c r="K65" s="584">
        <v>0</v>
      </c>
      <c r="L65" s="584">
        <v>0</v>
      </c>
      <c r="M65" s="584">
        <v>0</v>
      </c>
      <c r="N65" s="584">
        <v>0</v>
      </c>
      <c r="O65" s="584">
        <v>0</v>
      </c>
      <c r="P65" s="584">
        <v>760000</v>
      </c>
      <c r="R65" s="397">
        <f t="shared" si="1"/>
        <v>0</v>
      </c>
      <c r="S65" s="397">
        <f t="shared" si="2"/>
        <v>0</v>
      </c>
    </row>
    <row r="66" spans="1:19" ht="78.75" x14ac:dyDescent="0.2">
      <c r="A66" s="576" t="s">
        <v>323</v>
      </c>
      <c r="B66" s="576" t="s">
        <v>324</v>
      </c>
      <c r="C66" s="577" t="s">
        <v>325</v>
      </c>
      <c r="D66" s="578" t="s">
        <v>665</v>
      </c>
      <c r="E66" s="584">
        <v>4090000</v>
      </c>
      <c r="F66" s="584">
        <v>4090000</v>
      </c>
      <c r="G66" s="584">
        <v>3333096</v>
      </c>
      <c r="H66" s="584">
        <v>0</v>
      </c>
      <c r="I66" s="584">
        <v>0</v>
      </c>
      <c r="J66" s="584">
        <v>0</v>
      </c>
      <c r="K66" s="584">
        <v>0</v>
      </c>
      <c r="L66" s="584">
        <v>0</v>
      </c>
      <c r="M66" s="584">
        <v>0</v>
      </c>
      <c r="N66" s="584">
        <v>0</v>
      </c>
      <c r="O66" s="584">
        <v>0</v>
      </c>
      <c r="P66" s="584">
        <v>4090000</v>
      </c>
      <c r="R66" s="397">
        <f t="shared" si="1"/>
        <v>0</v>
      </c>
      <c r="S66" s="397">
        <f t="shared" si="2"/>
        <v>0</v>
      </c>
    </row>
    <row r="67" spans="1:19" ht="110.25" x14ac:dyDescent="0.2">
      <c r="A67" s="576" t="s">
        <v>327</v>
      </c>
      <c r="B67" s="576" t="s">
        <v>328</v>
      </c>
      <c r="C67" s="577" t="s">
        <v>217</v>
      </c>
      <c r="D67" s="578" t="s">
        <v>329</v>
      </c>
      <c r="E67" s="584">
        <v>1445000</v>
      </c>
      <c r="F67" s="584">
        <v>1445000</v>
      </c>
      <c r="G67" s="584">
        <v>0</v>
      </c>
      <c r="H67" s="584">
        <v>0</v>
      </c>
      <c r="I67" s="584">
        <v>0</v>
      </c>
      <c r="J67" s="584">
        <v>0</v>
      </c>
      <c r="K67" s="584">
        <v>0</v>
      </c>
      <c r="L67" s="584">
        <v>0</v>
      </c>
      <c r="M67" s="584">
        <v>0</v>
      </c>
      <c r="N67" s="584">
        <v>0</v>
      </c>
      <c r="O67" s="584">
        <v>0</v>
      </c>
      <c r="P67" s="584">
        <v>1445000</v>
      </c>
      <c r="R67" s="397">
        <f t="shared" si="1"/>
        <v>0</v>
      </c>
      <c r="S67" s="397">
        <f t="shared" si="2"/>
        <v>0</v>
      </c>
    </row>
    <row r="68" spans="1:19" ht="31.5" x14ac:dyDescent="0.2">
      <c r="A68" s="576" t="s">
        <v>330</v>
      </c>
      <c r="B68" s="576" t="s">
        <v>176</v>
      </c>
      <c r="C68" s="577" t="s">
        <v>177</v>
      </c>
      <c r="D68" s="578" t="s">
        <v>178</v>
      </c>
      <c r="E68" s="584">
        <v>79250</v>
      </c>
      <c r="F68" s="584">
        <v>79250</v>
      </c>
      <c r="G68" s="584">
        <v>64955</v>
      </c>
      <c r="H68" s="584">
        <v>0</v>
      </c>
      <c r="I68" s="584">
        <v>0</v>
      </c>
      <c r="J68" s="584">
        <v>0</v>
      </c>
      <c r="K68" s="584">
        <v>0</v>
      </c>
      <c r="L68" s="584">
        <v>0</v>
      </c>
      <c r="M68" s="584">
        <v>0</v>
      </c>
      <c r="N68" s="584">
        <v>0</v>
      </c>
      <c r="O68" s="584">
        <v>0</v>
      </c>
      <c r="P68" s="584">
        <v>79250</v>
      </c>
      <c r="R68" s="397">
        <f t="shared" si="1"/>
        <v>0</v>
      </c>
      <c r="S68" s="397">
        <f t="shared" si="2"/>
        <v>0</v>
      </c>
    </row>
    <row r="69" spans="1:19" ht="38.25" customHeight="1" x14ac:dyDescent="0.2">
      <c r="A69" s="576" t="s">
        <v>331</v>
      </c>
      <c r="B69" s="576" t="s">
        <v>332</v>
      </c>
      <c r="C69" s="577" t="s">
        <v>234</v>
      </c>
      <c r="D69" s="578" t="s">
        <v>666</v>
      </c>
      <c r="E69" s="584">
        <v>1000000</v>
      </c>
      <c r="F69" s="584">
        <v>1000000</v>
      </c>
      <c r="G69" s="584">
        <v>0</v>
      </c>
      <c r="H69" s="584">
        <v>0</v>
      </c>
      <c r="I69" s="584">
        <v>0</v>
      </c>
      <c r="J69" s="584">
        <v>0</v>
      </c>
      <c r="K69" s="584">
        <v>0</v>
      </c>
      <c r="L69" s="584">
        <v>0</v>
      </c>
      <c r="M69" s="584">
        <v>0</v>
      </c>
      <c r="N69" s="584">
        <v>0</v>
      </c>
      <c r="O69" s="584">
        <v>0</v>
      </c>
      <c r="P69" s="584">
        <v>1000000</v>
      </c>
      <c r="R69" s="397">
        <f t="shared" si="1"/>
        <v>0</v>
      </c>
      <c r="S69" s="397">
        <f t="shared" si="2"/>
        <v>0</v>
      </c>
    </row>
    <row r="70" spans="1:19" ht="31.5" x14ac:dyDescent="0.2">
      <c r="A70" s="576" t="s">
        <v>334</v>
      </c>
      <c r="B70" s="576" t="s">
        <v>180</v>
      </c>
      <c r="C70" s="577" t="s">
        <v>335</v>
      </c>
      <c r="D70" s="578" t="s">
        <v>182</v>
      </c>
      <c r="E70" s="584">
        <v>26515723</v>
      </c>
      <c r="F70" s="584">
        <v>26515723</v>
      </c>
      <c r="G70" s="584">
        <v>0</v>
      </c>
      <c r="H70" s="584">
        <v>0</v>
      </c>
      <c r="I70" s="584">
        <v>0</v>
      </c>
      <c r="J70" s="584">
        <v>0</v>
      </c>
      <c r="K70" s="584">
        <v>0</v>
      </c>
      <c r="L70" s="584">
        <v>0</v>
      </c>
      <c r="M70" s="584">
        <v>0</v>
      </c>
      <c r="N70" s="584">
        <v>0</v>
      </c>
      <c r="O70" s="584">
        <v>0</v>
      </c>
      <c r="P70" s="584">
        <v>26515723</v>
      </c>
      <c r="R70" s="397">
        <f t="shared" si="1"/>
        <v>0</v>
      </c>
      <c r="S70" s="397">
        <f t="shared" si="2"/>
        <v>0</v>
      </c>
    </row>
    <row r="71" spans="1:19" ht="47.25" x14ac:dyDescent="0.2">
      <c r="A71" s="553" t="s">
        <v>337</v>
      </c>
      <c r="B71" s="553" t="s">
        <v>338</v>
      </c>
      <c r="C71" s="554"/>
      <c r="D71" s="555" t="s">
        <v>339</v>
      </c>
      <c r="E71" s="583">
        <v>282740963</v>
      </c>
      <c r="F71" s="583">
        <v>74443082</v>
      </c>
      <c r="G71" s="583">
        <v>9590740</v>
      </c>
      <c r="H71" s="583">
        <v>265654</v>
      </c>
      <c r="I71" s="583">
        <v>208297881</v>
      </c>
      <c r="J71" s="583">
        <v>97904190</v>
      </c>
      <c r="K71" s="583">
        <v>97359590</v>
      </c>
      <c r="L71" s="583">
        <v>380000</v>
      </c>
      <c r="M71" s="583">
        <v>245800</v>
      </c>
      <c r="N71" s="583">
        <v>0</v>
      </c>
      <c r="O71" s="583">
        <v>97524190</v>
      </c>
      <c r="P71" s="583">
        <v>380645153</v>
      </c>
      <c r="R71" s="397">
        <f t="shared" si="1"/>
        <v>208297881</v>
      </c>
      <c r="S71" s="397">
        <f t="shared" si="2"/>
        <v>164600</v>
      </c>
    </row>
    <row r="72" spans="1:19" ht="47.25" x14ac:dyDescent="0.2">
      <c r="A72" s="553" t="s">
        <v>340</v>
      </c>
      <c r="B72" s="553"/>
      <c r="C72" s="554"/>
      <c r="D72" s="555" t="s">
        <v>341</v>
      </c>
      <c r="E72" s="583">
        <v>282740963</v>
      </c>
      <c r="F72" s="583">
        <v>74443082</v>
      </c>
      <c r="G72" s="583">
        <v>9590740</v>
      </c>
      <c r="H72" s="583">
        <v>265654</v>
      </c>
      <c r="I72" s="583">
        <v>208297881</v>
      </c>
      <c r="J72" s="583">
        <v>97904190</v>
      </c>
      <c r="K72" s="583">
        <v>97359590</v>
      </c>
      <c r="L72" s="583">
        <v>380000</v>
      </c>
      <c r="M72" s="583">
        <v>245800</v>
      </c>
      <c r="N72" s="583">
        <v>0</v>
      </c>
      <c r="O72" s="583">
        <v>97524190</v>
      </c>
      <c r="P72" s="583">
        <v>380645153</v>
      </c>
      <c r="R72" s="397">
        <f t="shared" si="1"/>
        <v>208297881</v>
      </c>
      <c r="S72" s="397">
        <f t="shared" si="2"/>
        <v>164600</v>
      </c>
    </row>
    <row r="73" spans="1:19" ht="47.25" x14ac:dyDescent="0.2">
      <c r="A73" s="576" t="s">
        <v>342</v>
      </c>
      <c r="B73" s="576" t="s">
        <v>147</v>
      </c>
      <c r="C73" s="577" t="s">
        <v>148</v>
      </c>
      <c r="D73" s="578" t="s">
        <v>645</v>
      </c>
      <c r="E73" s="584">
        <v>12277207</v>
      </c>
      <c r="F73" s="584">
        <v>12277207</v>
      </c>
      <c r="G73" s="584">
        <v>9566765</v>
      </c>
      <c r="H73" s="584">
        <v>265654</v>
      </c>
      <c r="I73" s="584">
        <v>0</v>
      </c>
      <c r="J73" s="584">
        <v>300000</v>
      </c>
      <c r="K73" s="584">
        <v>0</v>
      </c>
      <c r="L73" s="584">
        <v>300000</v>
      </c>
      <c r="M73" s="584">
        <v>245800</v>
      </c>
      <c r="N73" s="584">
        <v>0</v>
      </c>
      <c r="O73" s="584">
        <v>0</v>
      </c>
      <c r="P73" s="584">
        <v>12577207</v>
      </c>
      <c r="R73" s="397">
        <f t="shared" si="1"/>
        <v>0</v>
      </c>
      <c r="S73" s="397">
        <f t="shared" si="2"/>
        <v>0</v>
      </c>
    </row>
    <row r="74" spans="1:19" ht="31.5" x14ac:dyDescent="0.2">
      <c r="A74" s="576" t="s">
        <v>343</v>
      </c>
      <c r="B74" s="576" t="s">
        <v>151</v>
      </c>
      <c r="C74" s="577" t="s">
        <v>152</v>
      </c>
      <c r="D74" s="578" t="s">
        <v>153</v>
      </c>
      <c r="E74" s="584">
        <v>270000</v>
      </c>
      <c r="F74" s="584">
        <v>270000</v>
      </c>
      <c r="G74" s="584">
        <v>0</v>
      </c>
      <c r="H74" s="584">
        <v>0</v>
      </c>
      <c r="I74" s="584">
        <v>0</v>
      </c>
      <c r="J74" s="584">
        <v>0</v>
      </c>
      <c r="K74" s="584">
        <v>0</v>
      </c>
      <c r="L74" s="584">
        <v>0</v>
      </c>
      <c r="M74" s="584">
        <v>0</v>
      </c>
      <c r="N74" s="584">
        <v>0</v>
      </c>
      <c r="O74" s="584">
        <v>0</v>
      </c>
      <c r="P74" s="584">
        <v>270000</v>
      </c>
      <c r="R74" s="397">
        <f t="shared" si="1"/>
        <v>0</v>
      </c>
      <c r="S74" s="397">
        <f t="shared" si="2"/>
        <v>0</v>
      </c>
    </row>
    <row r="75" spans="1:19" ht="31.5" x14ac:dyDescent="0.2">
      <c r="A75" s="576" t="s">
        <v>344</v>
      </c>
      <c r="B75" s="576" t="s">
        <v>176</v>
      </c>
      <c r="C75" s="577" t="s">
        <v>177</v>
      </c>
      <c r="D75" s="578" t="s">
        <v>178</v>
      </c>
      <c r="E75" s="584">
        <v>109250</v>
      </c>
      <c r="F75" s="584">
        <v>109250</v>
      </c>
      <c r="G75" s="584">
        <v>23975</v>
      </c>
      <c r="H75" s="584">
        <v>0</v>
      </c>
      <c r="I75" s="584">
        <v>0</v>
      </c>
      <c r="J75" s="584">
        <v>0</v>
      </c>
      <c r="K75" s="584">
        <v>0</v>
      </c>
      <c r="L75" s="584">
        <v>0</v>
      </c>
      <c r="M75" s="584">
        <v>0</v>
      </c>
      <c r="N75" s="584">
        <v>0</v>
      </c>
      <c r="O75" s="584">
        <v>0</v>
      </c>
      <c r="P75" s="584">
        <v>109250</v>
      </c>
      <c r="R75" s="397">
        <f t="shared" si="1"/>
        <v>0</v>
      </c>
      <c r="S75" s="397">
        <f t="shared" si="2"/>
        <v>0</v>
      </c>
    </row>
    <row r="76" spans="1:19" ht="31.5" x14ac:dyDescent="0.2">
      <c r="A76" s="576" t="s">
        <v>345</v>
      </c>
      <c r="B76" s="576" t="s">
        <v>346</v>
      </c>
      <c r="C76" s="577" t="s">
        <v>347</v>
      </c>
      <c r="D76" s="578" t="s">
        <v>348</v>
      </c>
      <c r="E76" s="584">
        <v>47607179</v>
      </c>
      <c r="F76" s="584">
        <v>0</v>
      </c>
      <c r="G76" s="584">
        <v>0</v>
      </c>
      <c r="H76" s="584">
        <v>0</v>
      </c>
      <c r="I76" s="584">
        <v>47607179</v>
      </c>
      <c r="J76" s="584">
        <v>0</v>
      </c>
      <c r="K76" s="584">
        <v>0</v>
      </c>
      <c r="L76" s="584">
        <v>0</v>
      </c>
      <c r="M76" s="584">
        <v>0</v>
      </c>
      <c r="N76" s="584">
        <v>0</v>
      </c>
      <c r="O76" s="584">
        <v>0</v>
      </c>
      <c r="P76" s="584">
        <v>47607179</v>
      </c>
      <c r="R76" s="397">
        <f t="shared" si="1"/>
        <v>47607179</v>
      </c>
      <c r="S76" s="397">
        <f t="shared" si="2"/>
        <v>0</v>
      </c>
    </row>
    <row r="77" spans="1:19" ht="31.5" x14ac:dyDescent="0.2">
      <c r="A77" s="576" t="s">
        <v>355</v>
      </c>
      <c r="B77" s="576" t="s">
        <v>356</v>
      </c>
      <c r="C77" s="577" t="s">
        <v>347</v>
      </c>
      <c r="D77" s="578" t="s">
        <v>357</v>
      </c>
      <c r="E77" s="584">
        <v>135645778</v>
      </c>
      <c r="F77" s="584">
        <v>6568568</v>
      </c>
      <c r="G77" s="584">
        <v>0</v>
      </c>
      <c r="H77" s="584">
        <v>0</v>
      </c>
      <c r="I77" s="584">
        <v>129077210</v>
      </c>
      <c r="J77" s="584">
        <v>6155051</v>
      </c>
      <c r="K77" s="584">
        <v>6155051</v>
      </c>
      <c r="L77" s="584">
        <v>0</v>
      </c>
      <c r="M77" s="584">
        <v>0</v>
      </c>
      <c r="N77" s="584">
        <v>0</v>
      </c>
      <c r="O77" s="584">
        <v>6155051</v>
      </c>
      <c r="P77" s="584">
        <v>141800829</v>
      </c>
      <c r="R77" s="397">
        <f t="shared" si="1"/>
        <v>129077210</v>
      </c>
      <c r="S77" s="397">
        <f t="shared" si="2"/>
        <v>0</v>
      </c>
    </row>
    <row r="78" spans="1:19" ht="126" x14ac:dyDescent="0.2">
      <c r="A78" s="576" t="s">
        <v>358</v>
      </c>
      <c r="B78" s="576" t="s">
        <v>359</v>
      </c>
      <c r="C78" s="577" t="s">
        <v>360</v>
      </c>
      <c r="D78" s="578" t="s">
        <v>667</v>
      </c>
      <c r="E78" s="584">
        <v>1129613</v>
      </c>
      <c r="F78" s="584">
        <v>0</v>
      </c>
      <c r="G78" s="584">
        <v>0</v>
      </c>
      <c r="H78" s="584">
        <v>0</v>
      </c>
      <c r="I78" s="584">
        <v>1129613</v>
      </c>
      <c r="J78" s="584">
        <v>0</v>
      </c>
      <c r="K78" s="584">
        <v>0</v>
      </c>
      <c r="L78" s="584">
        <v>0</v>
      </c>
      <c r="M78" s="584">
        <v>0</v>
      </c>
      <c r="N78" s="584">
        <v>0</v>
      </c>
      <c r="O78" s="584">
        <v>0</v>
      </c>
      <c r="P78" s="584">
        <v>1129613</v>
      </c>
      <c r="R78" s="397">
        <f t="shared" si="1"/>
        <v>1129613</v>
      </c>
      <c r="S78" s="397">
        <f t="shared" si="2"/>
        <v>0</v>
      </c>
    </row>
    <row r="79" spans="1:19" ht="41.25" customHeight="1" x14ac:dyDescent="0.2">
      <c r="A79" s="576" t="s">
        <v>362</v>
      </c>
      <c r="B79" s="576" t="s">
        <v>363</v>
      </c>
      <c r="C79" s="577" t="s">
        <v>360</v>
      </c>
      <c r="D79" s="578" t="s">
        <v>364</v>
      </c>
      <c r="E79" s="584">
        <v>16762438</v>
      </c>
      <c r="F79" s="584">
        <v>16762438</v>
      </c>
      <c r="G79" s="584">
        <v>0</v>
      </c>
      <c r="H79" s="584">
        <v>0</v>
      </c>
      <c r="I79" s="584">
        <v>0</v>
      </c>
      <c r="J79" s="584">
        <v>0</v>
      </c>
      <c r="K79" s="584">
        <v>0</v>
      </c>
      <c r="L79" s="584">
        <v>0</v>
      </c>
      <c r="M79" s="584">
        <v>0</v>
      </c>
      <c r="N79" s="584">
        <v>0</v>
      </c>
      <c r="O79" s="584">
        <v>0</v>
      </c>
      <c r="P79" s="584">
        <v>16762438</v>
      </c>
      <c r="R79" s="397">
        <f t="shared" ref="R79:R114" si="3">E79-F79</f>
        <v>0</v>
      </c>
      <c r="S79" s="397">
        <f t="shared" si="2"/>
        <v>0</v>
      </c>
    </row>
    <row r="80" spans="1:19" ht="32.25" customHeight="1" x14ac:dyDescent="0.2">
      <c r="A80" s="576" t="s">
        <v>365</v>
      </c>
      <c r="B80" s="576" t="s">
        <v>366</v>
      </c>
      <c r="C80" s="577" t="s">
        <v>367</v>
      </c>
      <c r="D80" s="578" t="s">
        <v>668</v>
      </c>
      <c r="E80" s="584">
        <v>176625</v>
      </c>
      <c r="F80" s="584">
        <v>176625</v>
      </c>
      <c r="G80" s="584">
        <v>0</v>
      </c>
      <c r="H80" s="584">
        <v>0</v>
      </c>
      <c r="I80" s="584">
        <v>0</v>
      </c>
      <c r="J80" s="584">
        <v>80000</v>
      </c>
      <c r="K80" s="584">
        <v>0</v>
      </c>
      <c r="L80" s="584">
        <v>80000</v>
      </c>
      <c r="M80" s="584">
        <v>0</v>
      </c>
      <c r="N80" s="584">
        <v>0</v>
      </c>
      <c r="O80" s="584">
        <v>0</v>
      </c>
      <c r="P80" s="584">
        <v>256625</v>
      </c>
      <c r="R80" s="397">
        <f t="shared" si="3"/>
        <v>0</v>
      </c>
      <c r="S80" s="397">
        <f t="shared" si="2"/>
        <v>0</v>
      </c>
    </row>
    <row r="81" spans="1:19" ht="35.25" customHeight="1" x14ac:dyDescent="0.2">
      <c r="A81" s="576" t="s">
        <v>369</v>
      </c>
      <c r="B81" s="576" t="s">
        <v>370</v>
      </c>
      <c r="C81" s="577" t="s">
        <v>371</v>
      </c>
      <c r="D81" s="578" t="s">
        <v>669</v>
      </c>
      <c r="E81" s="584">
        <v>0</v>
      </c>
      <c r="F81" s="584">
        <v>0</v>
      </c>
      <c r="G81" s="584">
        <v>0</v>
      </c>
      <c r="H81" s="584">
        <v>0</v>
      </c>
      <c r="I81" s="584">
        <v>0</v>
      </c>
      <c r="J81" s="584">
        <v>1214350</v>
      </c>
      <c r="K81" s="584">
        <v>1214350</v>
      </c>
      <c r="L81" s="584">
        <v>0</v>
      </c>
      <c r="M81" s="584">
        <v>0</v>
      </c>
      <c r="N81" s="584">
        <v>0</v>
      </c>
      <c r="O81" s="584">
        <v>1214350</v>
      </c>
      <c r="P81" s="584">
        <v>1214350</v>
      </c>
      <c r="R81" s="397">
        <f t="shared" si="3"/>
        <v>0</v>
      </c>
      <c r="S81" s="397">
        <f t="shared" si="2"/>
        <v>0</v>
      </c>
    </row>
    <row r="82" spans="1:19" ht="44.25" customHeight="1" x14ac:dyDescent="0.2">
      <c r="A82" s="576" t="s">
        <v>373</v>
      </c>
      <c r="B82" s="576" t="s">
        <v>374</v>
      </c>
      <c r="C82" s="577" t="s">
        <v>371</v>
      </c>
      <c r="D82" s="578" t="s">
        <v>670</v>
      </c>
      <c r="E82" s="584">
        <v>0</v>
      </c>
      <c r="F82" s="584">
        <v>0</v>
      </c>
      <c r="G82" s="584">
        <v>0</v>
      </c>
      <c r="H82" s="584">
        <v>0</v>
      </c>
      <c r="I82" s="584">
        <v>0</v>
      </c>
      <c r="J82" s="584">
        <v>909633</v>
      </c>
      <c r="K82" s="584">
        <v>909633</v>
      </c>
      <c r="L82" s="584">
        <v>0</v>
      </c>
      <c r="M82" s="584">
        <v>0</v>
      </c>
      <c r="N82" s="584">
        <v>0</v>
      </c>
      <c r="O82" s="584">
        <v>909633</v>
      </c>
      <c r="P82" s="584">
        <v>909633</v>
      </c>
      <c r="R82" s="397">
        <f t="shared" si="3"/>
        <v>0</v>
      </c>
      <c r="S82" s="397">
        <f t="shared" ref="S82:S115" si="4">O82-K82</f>
        <v>0</v>
      </c>
    </row>
    <row r="83" spans="1:19" ht="66" customHeight="1" x14ac:dyDescent="0.2">
      <c r="A83" s="576" t="s">
        <v>376</v>
      </c>
      <c r="B83" s="576" t="s">
        <v>377</v>
      </c>
      <c r="C83" s="577" t="s">
        <v>371</v>
      </c>
      <c r="D83" s="578" t="s">
        <v>378</v>
      </c>
      <c r="E83" s="584">
        <v>0</v>
      </c>
      <c r="F83" s="584">
        <v>0</v>
      </c>
      <c r="G83" s="584">
        <v>0</v>
      </c>
      <c r="H83" s="584">
        <v>0</v>
      </c>
      <c r="I83" s="584">
        <v>0</v>
      </c>
      <c r="J83" s="584">
        <v>1340000</v>
      </c>
      <c r="K83" s="584">
        <v>1340000</v>
      </c>
      <c r="L83" s="584">
        <v>0</v>
      </c>
      <c r="M83" s="584">
        <v>0</v>
      </c>
      <c r="N83" s="584">
        <v>0</v>
      </c>
      <c r="O83" s="584">
        <v>1340000</v>
      </c>
      <c r="P83" s="584">
        <v>1340000</v>
      </c>
      <c r="R83" s="397">
        <f t="shared" si="3"/>
        <v>0</v>
      </c>
      <c r="S83" s="397">
        <f t="shared" si="4"/>
        <v>0</v>
      </c>
    </row>
    <row r="84" spans="1:19" ht="58.5" hidden="1" customHeight="1" x14ac:dyDescent="0.2">
      <c r="A84" s="576" t="s">
        <v>624</v>
      </c>
      <c r="B84" s="576" t="s">
        <v>625</v>
      </c>
      <c r="C84" s="577" t="s">
        <v>371</v>
      </c>
      <c r="D84" s="578" t="s">
        <v>626</v>
      </c>
      <c r="E84" s="584">
        <v>0</v>
      </c>
      <c r="F84" s="584">
        <v>0</v>
      </c>
      <c r="G84" s="584">
        <v>0</v>
      </c>
      <c r="H84" s="584">
        <v>0</v>
      </c>
      <c r="I84" s="584">
        <v>0</v>
      </c>
      <c r="J84" s="584">
        <v>0</v>
      </c>
      <c r="K84" s="584">
        <v>0</v>
      </c>
      <c r="L84" s="584">
        <v>0</v>
      </c>
      <c r="M84" s="584">
        <v>0</v>
      </c>
      <c r="N84" s="584">
        <v>0</v>
      </c>
      <c r="O84" s="584">
        <v>0</v>
      </c>
      <c r="P84" s="584">
        <v>0</v>
      </c>
      <c r="R84" s="397">
        <f t="shared" si="3"/>
        <v>0</v>
      </c>
      <c r="S84" s="397">
        <f t="shared" si="4"/>
        <v>0</v>
      </c>
    </row>
    <row r="85" spans="1:19" ht="47.25" x14ac:dyDescent="0.2">
      <c r="A85" s="576" t="s">
        <v>379</v>
      </c>
      <c r="B85" s="576" t="s">
        <v>380</v>
      </c>
      <c r="C85" s="577" t="s">
        <v>381</v>
      </c>
      <c r="D85" s="578" t="s">
        <v>382</v>
      </c>
      <c r="E85" s="584">
        <v>61342561</v>
      </c>
      <c r="F85" s="584">
        <v>31361432</v>
      </c>
      <c r="G85" s="584">
        <v>0</v>
      </c>
      <c r="H85" s="584">
        <v>0</v>
      </c>
      <c r="I85" s="584">
        <v>29981129</v>
      </c>
      <c r="J85" s="584">
        <v>200000</v>
      </c>
      <c r="K85" s="584">
        <v>200000</v>
      </c>
      <c r="L85" s="584">
        <v>0</v>
      </c>
      <c r="M85" s="584">
        <v>0</v>
      </c>
      <c r="N85" s="584">
        <v>0</v>
      </c>
      <c r="O85" s="584">
        <v>200000</v>
      </c>
      <c r="P85" s="584">
        <v>61542561</v>
      </c>
      <c r="R85" s="397">
        <f t="shared" si="3"/>
        <v>29981129</v>
      </c>
      <c r="S85" s="397">
        <f t="shared" si="4"/>
        <v>0</v>
      </c>
    </row>
    <row r="86" spans="1:19" ht="47.25" x14ac:dyDescent="0.2">
      <c r="A86" s="576" t="s">
        <v>386</v>
      </c>
      <c r="B86" s="576" t="s">
        <v>387</v>
      </c>
      <c r="C86" s="577" t="s">
        <v>185</v>
      </c>
      <c r="D86" s="578" t="s">
        <v>627</v>
      </c>
      <c r="E86" s="584">
        <v>0</v>
      </c>
      <c r="F86" s="584">
        <v>0</v>
      </c>
      <c r="G86" s="584">
        <v>0</v>
      </c>
      <c r="H86" s="584">
        <v>0</v>
      </c>
      <c r="I86" s="584">
        <v>0</v>
      </c>
      <c r="J86" s="584">
        <v>100000</v>
      </c>
      <c r="K86" s="584">
        <v>100000</v>
      </c>
      <c r="L86" s="584">
        <v>0</v>
      </c>
      <c r="M86" s="584">
        <v>0</v>
      </c>
      <c r="N86" s="584">
        <v>0</v>
      </c>
      <c r="O86" s="584">
        <v>100000</v>
      </c>
      <c r="P86" s="584">
        <v>100000</v>
      </c>
      <c r="R86" s="397">
        <f t="shared" si="3"/>
        <v>0</v>
      </c>
      <c r="S86" s="397">
        <f t="shared" si="4"/>
        <v>0</v>
      </c>
    </row>
    <row r="87" spans="1:19" ht="31.5" x14ac:dyDescent="0.2">
      <c r="A87" s="576" t="s">
        <v>390</v>
      </c>
      <c r="B87" s="576" t="s">
        <v>391</v>
      </c>
      <c r="C87" s="577" t="s">
        <v>185</v>
      </c>
      <c r="D87" s="578" t="s">
        <v>671</v>
      </c>
      <c r="E87" s="584">
        <v>0</v>
      </c>
      <c r="F87" s="584">
        <v>0</v>
      </c>
      <c r="G87" s="584">
        <v>0</v>
      </c>
      <c r="H87" s="584">
        <v>0</v>
      </c>
      <c r="I87" s="584">
        <v>0</v>
      </c>
      <c r="J87" s="584">
        <v>87440556</v>
      </c>
      <c r="K87" s="584">
        <v>87440556</v>
      </c>
      <c r="L87" s="584">
        <v>0</v>
      </c>
      <c r="M87" s="584">
        <v>0</v>
      </c>
      <c r="N87" s="584">
        <v>0</v>
      </c>
      <c r="O87" s="584">
        <v>87440556</v>
      </c>
      <c r="P87" s="584">
        <v>87440556</v>
      </c>
      <c r="R87" s="397">
        <f t="shared" si="3"/>
        <v>0</v>
      </c>
      <c r="S87" s="397">
        <f t="shared" si="4"/>
        <v>0</v>
      </c>
    </row>
    <row r="88" spans="1:19" ht="44.25" customHeight="1" x14ac:dyDescent="0.2">
      <c r="A88" s="576" t="s">
        <v>389</v>
      </c>
      <c r="B88" s="576" t="s">
        <v>198</v>
      </c>
      <c r="C88" s="577" t="s">
        <v>185</v>
      </c>
      <c r="D88" s="578" t="s">
        <v>649</v>
      </c>
      <c r="E88" s="584">
        <v>502750</v>
      </c>
      <c r="F88" s="584">
        <v>0</v>
      </c>
      <c r="G88" s="584">
        <v>0</v>
      </c>
      <c r="H88" s="584">
        <v>0</v>
      </c>
      <c r="I88" s="584">
        <v>502750</v>
      </c>
      <c r="J88" s="584">
        <v>0</v>
      </c>
      <c r="K88" s="584">
        <v>0</v>
      </c>
      <c r="L88" s="584">
        <v>0</v>
      </c>
      <c r="M88" s="584">
        <v>0</v>
      </c>
      <c r="N88" s="584">
        <v>0</v>
      </c>
      <c r="O88" s="584">
        <v>0</v>
      </c>
      <c r="P88" s="584">
        <v>502750</v>
      </c>
      <c r="R88" s="397">
        <f t="shared" si="3"/>
        <v>502750</v>
      </c>
      <c r="S88" s="397">
        <f t="shared" si="4"/>
        <v>0</v>
      </c>
    </row>
    <row r="89" spans="1:19" ht="47.25" x14ac:dyDescent="0.2">
      <c r="A89" s="576" t="s">
        <v>393</v>
      </c>
      <c r="B89" s="576" t="s">
        <v>201</v>
      </c>
      <c r="C89" s="577" t="s">
        <v>202</v>
      </c>
      <c r="D89" s="578" t="s">
        <v>203</v>
      </c>
      <c r="E89" s="584">
        <v>6917562</v>
      </c>
      <c r="F89" s="584">
        <v>6917562</v>
      </c>
      <c r="G89" s="584">
        <v>0</v>
      </c>
      <c r="H89" s="584">
        <v>0</v>
      </c>
      <c r="I89" s="584">
        <v>0</v>
      </c>
      <c r="J89" s="584">
        <v>0</v>
      </c>
      <c r="K89" s="584">
        <v>0</v>
      </c>
      <c r="L89" s="584">
        <v>0</v>
      </c>
      <c r="M89" s="584">
        <v>0</v>
      </c>
      <c r="N89" s="584">
        <v>0</v>
      </c>
      <c r="O89" s="584">
        <v>0</v>
      </c>
      <c r="P89" s="584">
        <v>6917562</v>
      </c>
      <c r="R89" s="397">
        <f t="shared" si="3"/>
        <v>0</v>
      </c>
      <c r="S89" s="397">
        <f t="shared" si="4"/>
        <v>0</v>
      </c>
    </row>
    <row r="90" spans="1:19" ht="31.5" x14ac:dyDescent="0.2">
      <c r="A90" s="576" t="s">
        <v>397</v>
      </c>
      <c r="B90" s="576" t="s">
        <v>398</v>
      </c>
      <c r="C90" s="577" t="s">
        <v>399</v>
      </c>
      <c r="D90" s="578" t="s">
        <v>400</v>
      </c>
      <c r="E90" s="584">
        <v>0</v>
      </c>
      <c r="F90" s="584">
        <v>0</v>
      </c>
      <c r="G90" s="584">
        <v>0</v>
      </c>
      <c r="H90" s="584">
        <v>0</v>
      </c>
      <c r="I90" s="584">
        <v>0</v>
      </c>
      <c r="J90" s="584">
        <v>164600</v>
      </c>
      <c r="K90" s="584">
        <v>0</v>
      </c>
      <c r="L90" s="584">
        <v>0</v>
      </c>
      <c r="M90" s="584">
        <v>0</v>
      </c>
      <c r="N90" s="584">
        <v>0</v>
      </c>
      <c r="O90" s="584">
        <v>164600</v>
      </c>
      <c r="P90" s="584">
        <v>164600</v>
      </c>
      <c r="R90" s="397">
        <f t="shared" si="3"/>
        <v>0</v>
      </c>
      <c r="S90" s="397">
        <f t="shared" si="4"/>
        <v>164600</v>
      </c>
    </row>
    <row r="91" spans="1:19" ht="47.25" customHeight="1" x14ac:dyDescent="0.2">
      <c r="A91" s="553" t="s">
        <v>402</v>
      </c>
      <c r="B91" s="553" t="s">
        <v>403</v>
      </c>
      <c r="C91" s="554"/>
      <c r="D91" s="431" t="s">
        <v>404</v>
      </c>
      <c r="E91" s="583">
        <v>4371106</v>
      </c>
      <c r="F91" s="583">
        <v>4371106</v>
      </c>
      <c r="G91" s="583">
        <v>3513900</v>
      </c>
      <c r="H91" s="583">
        <v>61800</v>
      </c>
      <c r="I91" s="583">
        <v>0</v>
      </c>
      <c r="J91" s="583">
        <v>29782190.380000003</v>
      </c>
      <c r="K91" s="583">
        <v>28324071.380000003</v>
      </c>
      <c r="L91" s="583">
        <v>1458119</v>
      </c>
      <c r="M91" s="583">
        <v>1175915</v>
      </c>
      <c r="N91" s="583">
        <v>1100</v>
      </c>
      <c r="O91" s="583">
        <v>28324071.380000003</v>
      </c>
      <c r="P91" s="583">
        <v>34153296.380000003</v>
      </c>
      <c r="R91" s="397">
        <f t="shared" si="3"/>
        <v>0</v>
      </c>
      <c r="S91" s="397">
        <f t="shared" si="4"/>
        <v>0</v>
      </c>
    </row>
    <row r="92" spans="1:19" ht="63" x14ac:dyDescent="0.2">
      <c r="A92" s="553" t="s">
        <v>405</v>
      </c>
      <c r="B92" s="553"/>
      <c r="C92" s="554"/>
      <c r="D92" s="431" t="s">
        <v>406</v>
      </c>
      <c r="E92" s="583">
        <v>4371106</v>
      </c>
      <c r="F92" s="583">
        <v>4371106</v>
      </c>
      <c r="G92" s="583">
        <v>3513900</v>
      </c>
      <c r="H92" s="583">
        <v>61800</v>
      </c>
      <c r="I92" s="583">
        <v>0</v>
      </c>
      <c r="J92" s="583">
        <v>29782190.380000003</v>
      </c>
      <c r="K92" s="583">
        <v>28324071.380000003</v>
      </c>
      <c r="L92" s="583">
        <v>1458119</v>
      </c>
      <c r="M92" s="583">
        <v>1175915</v>
      </c>
      <c r="N92" s="583">
        <v>1100</v>
      </c>
      <c r="O92" s="583">
        <v>28324071.380000003</v>
      </c>
      <c r="P92" s="583">
        <v>34153296.380000003</v>
      </c>
      <c r="R92" s="397">
        <f t="shared" si="3"/>
        <v>0</v>
      </c>
      <c r="S92" s="397">
        <f t="shared" si="4"/>
        <v>0</v>
      </c>
    </row>
    <row r="93" spans="1:19" ht="47.25" x14ac:dyDescent="0.2">
      <c r="A93" s="576" t="s">
        <v>407</v>
      </c>
      <c r="B93" s="576" t="s">
        <v>147</v>
      </c>
      <c r="C93" s="577" t="s">
        <v>148</v>
      </c>
      <c r="D93" s="578" t="s">
        <v>645</v>
      </c>
      <c r="E93" s="584">
        <v>4371106</v>
      </c>
      <c r="F93" s="584">
        <v>4371106</v>
      </c>
      <c r="G93" s="584">
        <v>3513900</v>
      </c>
      <c r="H93" s="584">
        <v>61800</v>
      </c>
      <c r="I93" s="584">
        <v>0</v>
      </c>
      <c r="J93" s="584">
        <v>1458119</v>
      </c>
      <c r="K93" s="584">
        <v>0</v>
      </c>
      <c r="L93" s="584">
        <v>1458119</v>
      </c>
      <c r="M93" s="584">
        <v>1175915</v>
      </c>
      <c r="N93" s="584">
        <v>1100</v>
      </c>
      <c r="O93" s="584">
        <v>0</v>
      </c>
      <c r="P93" s="584">
        <v>5829225</v>
      </c>
      <c r="R93" s="397">
        <f t="shared" si="3"/>
        <v>0</v>
      </c>
      <c r="S93" s="397">
        <f t="shared" si="4"/>
        <v>0</v>
      </c>
    </row>
    <row r="94" spans="1:19" ht="15.75" x14ac:dyDescent="0.2">
      <c r="A94" s="576" t="s">
        <v>629</v>
      </c>
      <c r="B94" s="576" t="s">
        <v>217</v>
      </c>
      <c r="C94" s="577" t="s">
        <v>218</v>
      </c>
      <c r="D94" s="578" t="s">
        <v>219</v>
      </c>
      <c r="E94" s="584">
        <v>0</v>
      </c>
      <c r="F94" s="584">
        <v>0</v>
      </c>
      <c r="G94" s="584">
        <v>0</v>
      </c>
      <c r="H94" s="584">
        <v>0</v>
      </c>
      <c r="I94" s="584">
        <v>0</v>
      </c>
      <c r="J94" s="584">
        <v>170000</v>
      </c>
      <c r="K94" s="584">
        <v>170000</v>
      </c>
      <c r="L94" s="584">
        <v>0</v>
      </c>
      <c r="M94" s="584">
        <v>0</v>
      </c>
      <c r="N94" s="584">
        <v>0</v>
      </c>
      <c r="O94" s="584">
        <v>170000</v>
      </c>
      <c r="P94" s="584">
        <v>170000</v>
      </c>
      <c r="R94" s="397">
        <f t="shared" si="3"/>
        <v>0</v>
      </c>
      <c r="S94" s="397">
        <f t="shared" si="4"/>
        <v>0</v>
      </c>
    </row>
    <row r="95" spans="1:19" ht="31.5" x14ac:dyDescent="0.2">
      <c r="A95" s="576" t="s">
        <v>408</v>
      </c>
      <c r="B95" s="576" t="s">
        <v>221</v>
      </c>
      <c r="C95" s="577" t="s">
        <v>222</v>
      </c>
      <c r="D95" s="578" t="s">
        <v>223</v>
      </c>
      <c r="E95" s="584">
        <v>0</v>
      </c>
      <c r="F95" s="584">
        <v>0</v>
      </c>
      <c r="G95" s="584">
        <v>0</v>
      </c>
      <c r="H95" s="584">
        <v>0</v>
      </c>
      <c r="I95" s="584">
        <v>0</v>
      </c>
      <c r="J95" s="584">
        <v>3141000</v>
      </c>
      <c r="K95" s="584">
        <v>3141000</v>
      </c>
      <c r="L95" s="584">
        <v>0</v>
      </c>
      <c r="M95" s="584">
        <v>0</v>
      </c>
      <c r="N95" s="584">
        <v>0</v>
      </c>
      <c r="O95" s="584">
        <v>3141000</v>
      </c>
      <c r="P95" s="584">
        <v>3141000</v>
      </c>
      <c r="R95" s="397">
        <f t="shared" si="3"/>
        <v>0</v>
      </c>
      <c r="S95" s="397">
        <f t="shared" si="4"/>
        <v>0</v>
      </c>
    </row>
    <row r="96" spans="1:19" ht="31.5" x14ac:dyDescent="0.2">
      <c r="A96" s="576" t="s">
        <v>632</v>
      </c>
      <c r="B96" s="576" t="s">
        <v>238</v>
      </c>
      <c r="C96" s="577" t="s">
        <v>235</v>
      </c>
      <c r="D96" s="578" t="s">
        <v>633</v>
      </c>
      <c r="E96" s="584">
        <v>0</v>
      </c>
      <c r="F96" s="584">
        <v>0</v>
      </c>
      <c r="G96" s="584">
        <v>0</v>
      </c>
      <c r="H96" s="584">
        <v>0</v>
      </c>
      <c r="I96" s="584">
        <v>0</v>
      </c>
      <c r="J96" s="584">
        <v>100000</v>
      </c>
      <c r="K96" s="584">
        <v>100000</v>
      </c>
      <c r="L96" s="584">
        <v>0</v>
      </c>
      <c r="M96" s="584">
        <v>0</v>
      </c>
      <c r="N96" s="584">
        <v>0</v>
      </c>
      <c r="O96" s="584">
        <v>100000</v>
      </c>
      <c r="P96" s="584">
        <v>100000</v>
      </c>
      <c r="R96" s="397">
        <f t="shared" si="3"/>
        <v>0</v>
      </c>
      <c r="S96" s="397">
        <f t="shared" si="4"/>
        <v>0</v>
      </c>
    </row>
    <row r="97" spans="1:19" ht="63" x14ac:dyDescent="0.2">
      <c r="A97" s="576" t="s">
        <v>409</v>
      </c>
      <c r="B97" s="576" t="s">
        <v>160</v>
      </c>
      <c r="C97" s="577" t="s">
        <v>161</v>
      </c>
      <c r="D97" s="578" t="s">
        <v>162</v>
      </c>
      <c r="E97" s="584">
        <v>0</v>
      </c>
      <c r="F97" s="584">
        <v>0</v>
      </c>
      <c r="G97" s="584">
        <v>0</v>
      </c>
      <c r="H97" s="584">
        <v>0</v>
      </c>
      <c r="I97" s="584">
        <v>0</v>
      </c>
      <c r="J97" s="584">
        <v>550000</v>
      </c>
      <c r="K97" s="584">
        <v>550000</v>
      </c>
      <c r="L97" s="584">
        <v>0</v>
      </c>
      <c r="M97" s="584">
        <v>0</v>
      </c>
      <c r="N97" s="584">
        <v>0</v>
      </c>
      <c r="O97" s="584">
        <v>550000</v>
      </c>
      <c r="P97" s="584">
        <v>550000</v>
      </c>
      <c r="R97" s="397">
        <f t="shared" si="3"/>
        <v>0</v>
      </c>
      <c r="S97" s="397">
        <f t="shared" si="4"/>
        <v>0</v>
      </c>
    </row>
    <row r="98" spans="1:19" ht="47.25" x14ac:dyDescent="0.2">
      <c r="A98" s="576" t="s">
        <v>634</v>
      </c>
      <c r="B98" s="576" t="s">
        <v>287</v>
      </c>
      <c r="C98" s="577" t="s">
        <v>288</v>
      </c>
      <c r="D98" s="578" t="s">
        <v>660</v>
      </c>
      <c r="E98" s="584">
        <v>0</v>
      </c>
      <c r="F98" s="584">
        <v>0</v>
      </c>
      <c r="G98" s="584">
        <v>0</v>
      </c>
      <c r="H98" s="584">
        <v>0</v>
      </c>
      <c r="I98" s="584">
        <v>0</v>
      </c>
      <c r="J98" s="584">
        <v>100000</v>
      </c>
      <c r="K98" s="584">
        <v>100000</v>
      </c>
      <c r="L98" s="584">
        <v>0</v>
      </c>
      <c r="M98" s="584">
        <v>0</v>
      </c>
      <c r="N98" s="584">
        <v>0</v>
      </c>
      <c r="O98" s="584">
        <v>100000</v>
      </c>
      <c r="P98" s="584">
        <v>100000</v>
      </c>
      <c r="R98" s="397">
        <f t="shared" si="3"/>
        <v>0</v>
      </c>
      <c r="S98" s="397">
        <f t="shared" si="4"/>
        <v>0</v>
      </c>
    </row>
    <row r="99" spans="1:19" ht="31.5" x14ac:dyDescent="0.2">
      <c r="A99" s="576" t="s">
        <v>412</v>
      </c>
      <c r="B99" s="576" t="s">
        <v>356</v>
      </c>
      <c r="C99" s="577" t="s">
        <v>347</v>
      </c>
      <c r="D99" s="578" t="s">
        <v>357</v>
      </c>
      <c r="E99" s="584">
        <v>0</v>
      </c>
      <c r="F99" s="584">
        <v>0</v>
      </c>
      <c r="G99" s="584">
        <v>0</v>
      </c>
      <c r="H99" s="584">
        <v>0</v>
      </c>
      <c r="I99" s="584">
        <v>0</v>
      </c>
      <c r="J99" s="584">
        <v>1300000</v>
      </c>
      <c r="K99" s="584">
        <v>1300000</v>
      </c>
      <c r="L99" s="584">
        <v>0</v>
      </c>
      <c r="M99" s="584">
        <v>0</v>
      </c>
      <c r="N99" s="584">
        <v>0</v>
      </c>
      <c r="O99" s="584">
        <v>1300000</v>
      </c>
      <c r="P99" s="584">
        <v>1300000</v>
      </c>
      <c r="R99" s="397">
        <f t="shared" si="3"/>
        <v>0</v>
      </c>
      <c r="S99" s="397">
        <f t="shared" si="4"/>
        <v>0</v>
      </c>
    </row>
    <row r="100" spans="1:19" ht="31.5" x14ac:dyDescent="0.2">
      <c r="A100" s="576" t="s">
        <v>413</v>
      </c>
      <c r="B100" s="576" t="s">
        <v>370</v>
      </c>
      <c r="C100" s="577" t="s">
        <v>371</v>
      </c>
      <c r="D100" s="578" t="s">
        <v>669</v>
      </c>
      <c r="E100" s="584">
        <v>0</v>
      </c>
      <c r="F100" s="584">
        <v>0</v>
      </c>
      <c r="G100" s="584">
        <v>0</v>
      </c>
      <c r="H100" s="584">
        <v>0</v>
      </c>
      <c r="I100" s="584">
        <v>0</v>
      </c>
      <c r="J100" s="584">
        <v>50000</v>
      </c>
      <c r="K100" s="584">
        <v>50000</v>
      </c>
      <c r="L100" s="584">
        <v>0</v>
      </c>
      <c r="M100" s="584">
        <v>0</v>
      </c>
      <c r="N100" s="584">
        <v>0</v>
      </c>
      <c r="O100" s="584">
        <v>50000</v>
      </c>
      <c r="P100" s="584">
        <v>50000</v>
      </c>
      <c r="R100" s="397">
        <f t="shared" si="3"/>
        <v>0</v>
      </c>
      <c r="S100" s="397">
        <f t="shared" si="4"/>
        <v>0</v>
      </c>
    </row>
    <row r="101" spans="1:19" ht="31.5" x14ac:dyDescent="0.2">
      <c r="A101" s="576" t="s">
        <v>414</v>
      </c>
      <c r="B101" s="576" t="s">
        <v>415</v>
      </c>
      <c r="C101" s="577" t="s">
        <v>371</v>
      </c>
      <c r="D101" s="578" t="s">
        <v>416</v>
      </c>
      <c r="E101" s="584">
        <v>0</v>
      </c>
      <c r="F101" s="584">
        <v>0</v>
      </c>
      <c r="G101" s="584">
        <v>0</v>
      </c>
      <c r="H101" s="584">
        <v>0</v>
      </c>
      <c r="I101" s="584">
        <v>0</v>
      </c>
      <c r="J101" s="584">
        <v>2902613.1799999997</v>
      </c>
      <c r="K101" s="584">
        <v>2902613.1799999997</v>
      </c>
      <c r="L101" s="584">
        <v>0</v>
      </c>
      <c r="M101" s="584">
        <v>0</v>
      </c>
      <c r="N101" s="584">
        <v>0</v>
      </c>
      <c r="O101" s="584">
        <v>2902613.1799999997</v>
      </c>
      <c r="P101" s="584">
        <v>2902613.1799999997</v>
      </c>
      <c r="R101" s="397">
        <f t="shared" si="3"/>
        <v>0</v>
      </c>
      <c r="S101" s="397">
        <f t="shared" si="4"/>
        <v>0</v>
      </c>
    </row>
    <row r="102" spans="1:19" ht="31.5" x14ac:dyDescent="0.2">
      <c r="A102" s="576" t="s">
        <v>420</v>
      </c>
      <c r="B102" s="576" t="s">
        <v>421</v>
      </c>
      <c r="C102" s="577" t="s">
        <v>371</v>
      </c>
      <c r="D102" s="578" t="s">
        <v>422</v>
      </c>
      <c r="E102" s="584">
        <v>0</v>
      </c>
      <c r="F102" s="584">
        <v>0</v>
      </c>
      <c r="G102" s="584">
        <v>0</v>
      </c>
      <c r="H102" s="584">
        <v>0</v>
      </c>
      <c r="I102" s="584">
        <v>0</v>
      </c>
      <c r="J102" s="584">
        <v>250000</v>
      </c>
      <c r="K102" s="584">
        <v>250000</v>
      </c>
      <c r="L102" s="584">
        <v>0</v>
      </c>
      <c r="M102" s="584">
        <v>0</v>
      </c>
      <c r="N102" s="584">
        <v>0</v>
      </c>
      <c r="O102" s="584">
        <v>250000</v>
      </c>
      <c r="P102" s="584">
        <v>250000</v>
      </c>
      <c r="R102" s="397">
        <f t="shared" si="3"/>
        <v>0</v>
      </c>
      <c r="S102" s="397">
        <f t="shared" si="4"/>
        <v>0</v>
      </c>
    </row>
    <row r="103" spans="1:19" ht="31.5" x14ac:dyDescent="0.2">
      <c r="A103" s="576" t="s">
        <v>426</v>
      </c>
      <c r="B103" s="576" t="s">
        <v>374</v>
      </c>
      <c r="C103" s="577" t="s">
        <v>371</v>
      </c>
      <c r="D103" s="578" t="s">
        <v>670</v>
      </c>
      <c r="E103" s="584">
        <v>0</v>
      </c>
      <c r="F103" s="584">
        <v>0</v>
      </c>
      <c r="G103" s="584">
        <v>0</v>
      </c>
      <c r="H103" s="584">
        <v>0</v>
      </c>
      <c r="I103" s="584">
        <v>0</v>
      </c>
      <c r="J103" s="584">
        <v>3330186.2</v>
      </c>
      <c r="K103" s="584">
        <v>3330186.2</v>
      </c>
      <c r="L103" s="584">
        <v>0</v>
      </c>
      <c r="M103" s="584">
        <v>0</v>
      </c>
      <c r="N103" s="584">
        <v>0</v>
      </c>
      <c r="O103" s="584">
        <v>3330186.2</v>
      </c>
      <c r="P103" s="584">
        <v>3330186.2</v>
      </c>
      <c r="R103" s="397">
        <f t="shared" si="3"/>
        <v>0</v>
      </c>
      <c r="S103" s="397">
        <f t="shared" si="4"/>
        <v>0</v>
      </c>
    </row>
    <row r="104" spans="1:19" ht="31.5" x14ac:dyDescent="0.2">
      <c r="A104" s="576" t="s">
        <v>428</v>
      </c>
      <c r="B104" s="576" t="s">
        <v>429</v>
      </c>
      <c r="C104" s="577" t="s">
        <v>371</v>
      </c>
      <c r="D104" s="578" t="s">
        <v>672</v>
      </c>
      <c r="E104" s="584">
        <v>0</v>
      </c>
      <c r="F104" s="584">
        <v>0</v>
      </c>
      <c r="G104" s="584">
        <v>0</v>
      </c>
      <c r="H104" s="584">
        <v>0</v>
      </c>
      <c r="I104" s="584">
        <v>0</v>
      </c>
      <c r="J104" s="584">
        <v>838700</v>
      </c>
      <c r="K104" s="584">
        <v>838700</v>
      </c>
      <c r="L104" s="584">
        <v>0</v>
      </c>
      <c r="M104" s="584">
        <v>0</v>
      </c>
      <c r="N104" s="584">
        <v>0</v>
      </c>
      <c r="O104" s="584">
        <v>838700</v>
      </c>
      <c r="P104" s="584">
        <v>838700</v>
      </c>
      <c r="R104" s="397">
        <f t="shared" si="3"/>
        <v>0</v>
      </c>
      <c r="S104" s="397">
        <f t="shared" si="4"/>
        <v>0</v>
      </c>
    </row>
    <row r="105" spans="1:19" ht="31.5" x14ac:dyDescent="0.2">
      <c r="A105" s="576" t="s">
        <v>431</v>
      </c>
      <c r="B105" s="576" t="s">
        <v>432</v>
      </c>
      <c r="C105" s="577" t="s">
        <v>381</v>
      </c>
      <c r="D105" s="578" t="s">
        <v>433</v>
      </c>
      <c r="E105" s="584">
        <v>0</v>
      </c>
      <c r="F105" s="584">
        <v>0</v>
      </c>
      <c r="G105" s="584">
        <v>0</v>
      </c>
      <c r="H105" s="584">
        <v>0</v>
      </c>
      <c r="I105" s="584">
        <v>0</v>
      </c>
      <c r="J105" s="584">
        <v>50000</v>
      </c>
      <c r="K105" s="584">
        <v>50000</v>
      </c>
      <c r="L105" s="584">
        <v>0</v>
      </c>
      <c r="M105" s="584">
        <v>0</v>
      </c>
      <c r="N105" s="584">
        <v>0</v>
      </c>
      <c r="O105" s="584">
        <v>50000</v>
      </c>
      <c r="P105" s="584">
        <v>50000</v>
      </c>
      <c r="R105" s="397">
        <f t="shared" si="3"/>
        <v>0</v>
      </c>
      <c r="S105" s="397">
        <f t="shared" si="4"/>
        <v>0</v>
      </c>
    </row>
    <row r="106" spans="1:19" ht="47.25" x14ac:dyDescent="0.2">
      <c r="A106" s="576" t="s">
        <v>434</v>
      </c>
      <c r="B106" s="576" t="s">
        <v>380</v>
      </c>
      <c r="C106" s="577" t="s">
        <v>381</v>
      </c>
      <c r="D106" s="578" t="s">
        <v>382</v>
      </c>
      <c r="E106" s="584">
        <v>0</v>
      </c>
      <c r="F106" s="584">
        <v>0</v>
      </c>
      <c r="G106" s="584">
        <v>0</v>
      </c>
      <c r="H106" s="584">
        <v>0</v>
      </c>
      <c r="I106" s="584">
        <v>0</v>
      </c>
      <c r="J106" s="584">
        <v>15541572</v>
      </c>
      <c r="K106" s="584">
        <v>15541572</v>
      </c>
      <c r="L106" s="584">
        <v>0</v>
      </c>
      <c r="M106" s="584">
        <v>0</v>
      </c>
      <c r="N106" s="584">
        <v>0</v>
      </c>
      <c r="O106" s="584">
        <v>15541572</v>
      </c>
      <c r="P106" s="584">
        <v>15541572</v>
      </c>
      <c r="R106" s="397">
        <f t="shared" si="3"/>
        <v>0</v>
      </c>
      <c r="S106" s="397">
        <f t="shared" si="4"/>
        <v>0</v>
      </c>
    </row>
    <row r="107" spans="1:19" ht="47.25" x14ac:dyDescent="0.2">
      <c r="A107" s="468" t="s">
        <v>438</v>
      </c>
      <c r="B107" s="468" t="s">
        <v>439</v>
      </c>
      <c r="C107" s="469"/>
      <c r="D107" s="470" t="s">
        <v>440</v>
      </c>
      <c r="E107" s="583">
        <v>37782702</v>
      </c>
      <c r="F107" s="583">
        <v>37682702</v>
      </c>
      <c r="G107" s="583">
        <v>4230570</v>
      </c>
      <c r="H107" s="583">
        <v>78500</v>
      </c>
      <c r="I107" s="583">
        <v>0</v>
      </c>
      <c r="J107" s="583">
        <v>50000</v>
      </c>
      <c r="K107" s="583">
        <v>0</v>
      </c>
      <c r="L107" s="583">
        <v>50000</v>
      </c>
      <c r="M107" s="583">
        <v>0</v>
      </c>
      <c r="N107" s="583">
        <v>0</v>
      </c>
      <c r="O107" s="583">
        <v>0</v>
      </c>
      <c r="P107" s="583">
        <v>37832702</v>
      </c>
      <c r="R107" s="397">
        <f t="shared" si="3"/>
        <v>100000</v>
      </c>
      <c r="S107" s="397">
        <f t="shared" si="4"/>
        <v>0</v>
      </c>
    </row>
    <row r="108" spans="1:19" ht="47.25" x14ac:dyDescent="0.2">
      <c r="A108" s="468" t="s">
        <v>441</v>
      </c>
      <c r="B108" s="468"/>
      <c r="C108" s="469"/>
      <c r="D108" s="470" t="s">
        <v>442</v>
      </c>
      <c r="E108" s="583">
        <v>37782702</v>
      </c>
      <c r="F108" s="583">
        <v>37682702</v>
      </c>
      <c r="G108" s="583">
        <v>4230570</v>
      </c>
      <c r="H108" s="583">
        <v>78500</v>
      </c>
      <c r="I108" s="583">
        <v>0</v>
      </c>
      <c r="J108" s="583">
        <v>50000</v>
      </c>
      <c r="K108" s="583">
        <v>0</v>
      </c>
      <c r="L108" s="583">
        <v>50000</v>
      </c>
      <c r="M108" s="583">
        <v>0</v>
      </c>
      <c r="N108" s="583">
        <v>0</v>
      </c>
      <c r="O108" s="583">
        <v>0</v>
      </c>
      <c r="P108" s="583">
        <v>37832702</v>
      </c>
      <c r="R108" s="397">
        <f t="shared" si="3"/>
        <v>100000</v>
      </c>
      <c r="S108" s="397">
        <f t="shared" si="4"/>
        <v>0</v>
      </c>
    </row>
    <row r="109" spans="1:19" ht="47.25" x14ac:dyDescent="0.2">
      <c r="A109" s="576" t="s">
        <v>443</v>
      </c>
      <c r="B109" s="576" t="s">
        <v>147</v>
      </c>
      <c r="C109" s="577" t="s">
        <v>148</v>
      </c>
      <c r="D109" s="578" t="s">
        <v>645</v>
      </c>
      <c r="E109" s="584">
        <v>5431794</v>
      </c>
      <c r="F109" s="584">
        <v>5431794</v>
      </c>
      <c r="G109" s="584">
        <v>4230570</v>
      </c>
      <c r="H109" s="584">
        <v>78500</v>
      </c>
      <c r="I109" s="584">
        <v>0</v>
      </c>
      <c r="J109" s="584">
        <v>0</v>
      </c>
      <c r="K109" s="584">
        <v>0</v>
      </c>
      <c r="L109" s="584">
        <v>0</v>
      </c>
      <c r="M109" s="584">
        <v>0</v>
      </c>
      <c r="N109" s="584">
        <v>0</v>
      </c>
      <c r="O109" s="584">
        <v>0</v>
      </c>
      <c r="P109" s="584">
        <v>5431794</v>
      </c>
      <c r="R109" s="397">
        <f t="shared" si="3"/>
        <v>0</v>
      </c>
      <c r="S109" s="397">
        <f t="shared" si="4"/>
        <v>0</v>
      </c>
    </row>
    <row r="110" spans="1:19" ht="126" x14ac:dyDescent="0.2">
      <c r="A110" s="576" t="s">
        <v>444</v>
      </c>
      <c r="B110" s="576" t="s">
        <v>195</v>
      </c>
      <c r="C110" s="577" t="s">
        <v>185</v>
      </c>
      <c r="D110" s="578" t="s">
        <v>648</v>
      </c>
      <c r="E110" s="584">
        <v>0</v>
      </c>
      <c r="F110" s="584">
        <v>0</v>
      </c>
      <c r="G110" s="584">
        <v>0</v>
      </c>
      <c r="H110" s="584">
        <v>0</v>
      </c>
      <c r="I110" s="584">
        <v>0</v>
      </c>
      <c r="J110" s="584">
        <v>50000</v>
      </c>
      <c r="K110" s="584">
        <v>0</v>
      </c>
      <c r="L110" s="584">
        <v>50000</v>
      </c>
      <c r="M110" s="584">
        <v>0</v>
      </c>
      <c r="N110" s="584">
        <v>0</v>
      </c>
      <c r="O110" s="584">
        <v>0</v>
      </c>
      <c r="P110" s="584">
        <v>50000</v>
      </c>
      <c r="R110" s="397">
        <f t="shared" si="3"/>
        <v>0</v>
      </c>
      <c r="S110" s="397">
        <f t="shared" si="4"/>
        <v>0</v>
      </c>
    </row>
    <row r="111" spans="1:19" ht="15.75" x14ac:dyDescent="0.2">
      <c r="A111" s="576" t="s">
        <v>445</v>
      </c>
      <c r="B111" s="576" t="s">
        <v>446</v>
      </c>
      <c r="C111" s="577" t="s">
        <v>447</v>
      </c>
      <c r="D111" s="578" t="s">
        <v>448</v>
      </c>
      <c r="E111" s="584">
        <v>3660608</v>
      </c>
      <c r="F111" s="584">
        <v>3660608</v>
      </c>
      <c r="G111" s="584">
        <v>0</v>
      </c>
      <c r="H111" s="584">
        <v>0</v>
      </c>
      <c r="I111" s="584">
        <v>0</v>
      </c>
      <c r="J111" s="584">
        <v>0</v>
      </c>
      <c r="K111" s="584">
        <v>0</v>
      </c>
      <c r="L111" s="584">
        <v>0</v>
      </c>
      <c r="M111" s="584">
        <v>0</v>
      </c>
      <c r="N111" s="584">
        <v>0</v>
      </c>
      <c r="O111" s="584">
        <v>0</v>
      </c>
      <c r="P111" s="584">
        <v>3660608</v>
      </c>
      <c r="R111" s="397">
        <f t="shared" si="3"/>
        <v>0</v>
      </c>
      <c r="S111" s="397">
        <f t="shared" si="4"/>
        <v>0</v>
      </c>
    </row>
    <row r="112" spans="1:19" ht="15.75" x14ac:dyDescent="0.2">
      <c r="A112" s="576" t="s">
        <v>449</v>
      </c>
      <c r="B112" s="576" t="s">
        <v>450</v>
      </c>
      <c r="C112" s="577" t="s">
        <v>152</v>
      </c>
      <c r="D112" s="578" t="s">
        <v>451</v>
      </c>
      <c r="E112" s="584">
        <v>100000</v>
      </c>
      <c r="F112" s="584">
        <v>0</v>
      </c>
      <c r="G112" s="584">
        <v>0</v>
      </c>
      <c r="H112" s="584">
        <v>0</v>
      </c>
      <c r="I112" s="584">
        <v>0</v>
      </c>
      <c r="J112" s="584">
        <v>0</v>
      </c>
      <c r="K112" s="584">
        <v>0</v>
      </c>
      <c r="L112" s="584">
        <v>0</v>
      </c>
      <c r="M112" s="584">
        <v>0</v>
      </c>
      <c r="N112" s="584">
        <v>0</v>
      </c>
      <c r="O112" s="584">
        <v>0</v>
      </c>
      <c r="P112" s="584">
        <v>100000</v>
      </c>
      <c r="R112" s="397">
        <f t="shared" si="3"/>
        <v>100000</v>
      </c>
      <c r="S112" s="397">
        <f t="shared" si="4"/>
        <v>0</v>
      </c>
    </row>
    <row r="113" spans="1:19" ht="14.25" customHeight="1" x14ac:dyDescent="0.2">
      <c r="A113" s="576" t="s">
        <v>452</v>
      </c>
      <c r="B113" s="576" t="s">
        <v>453</v>
      </c>
      <c r="C113" s="577" t="s">
        <v>151</v>
      </c>
      <c r="D113" s="578" t="s">
        <v>454</v>
      </c>
      <c r="E113" s="584">
        <v>18590300</v>
      </c>
      <c r="F113" s="584">
        <v>18590300</v>
      </c>
      <c r="G113" s="584">
        <v>0</v>
      </c>
      <c r="H113" s="584">
        <v>0</v>
      </c>
      <c r="I113" s="584">
        <v>0</v>
      </c>
      <c r="J113" s="584">
        <v>0</v>
      </c>
      <c r="K113" s="584">
        <v>0</v>
      </c>
      <c r="L113" s="584">
        <v>0</v>
      </c>
      <c r="M113" s="584">
        <v>0</v>
      </c>
      <c r="N113" s="584">
        <v>0</v>
      </c>
      <c r="O113" s="584">
        <v>0</v>
      </c>
      <c r="P113" s="584">
        <v>18590300</v>
      </c>
      <c r="R113" s="397">
        <f t="shared" si="3"/>
        <v>0</v>
      </c>
      <c r="S113" s="397">
        <f t="shared" si="4"/>
        <v>0</v>
      </c>
    </row>
    <row r="114" spans="1:19" ht="15.75" x14ac:dyDescent="0.2">
      <c r="A114" s="576" t="s">
        <v>455</v>
      </c>
      <c r="B114" s="576" t="s">
        <v>456</v>
      </c>
      <c r="C114" s="577" t="s">
        <v>151</v>
      </c>
      <c r="D114" s="578" t="s">
        <v>108</v>
      </c>
      <c r="E114" s="584">
        <v>10000000</v>
      </c>
      <c r="F114" s="584">
        <v>10000000</v>
      </c>
      <c r="G114" s="584">
        <v>0</v>
      </c>
      <c r="H114" s="584">
        <v>0</v>
      </c>
      <c r="I114" s="584">
        <v>0</v>
      </c>
      <c r="J114" s="584">
        <v>0</v>
      </c>
      <c r="K114" s="584">
        <v>0</v>
      </c>
      <c r="L114" s="584">
        <v>0</v>
      </c>
      <c r="M114" s="584">
        <v>0</v>
      </c>
      <c r="N114" s="584">
        <v>0</v>
      </c>
      <c r="O114" s="584">
        <v>0</v>
      </c>
      <c r="P114" s="584">
        <v>10000000</v>
      </c>
      <c r="R114" s="397">
        <f t="shared" si="3"/>
        <v>0</v>
      </c>
      <c r="S114" s="397">
        <f t="shared" si="4"/>
        <v>0</v>
      </c>
    </row>
    <row r="115" spans="1:19" ht="15.75" x14ac:dyDescent="0.2">
      <c r="A115" s="579" t="s">
        <v>495</v>
      </c>
      <c r="B115" s="580" t="s">
        <v>495</v>
      </c>
      <c r="C115" s="581" t="s">
        <v>495</v>
      </c>
      <c r="D115" s="582" t="s">
        <v>673</v>
      </c>
      <c r="E115" s="583">
        <v>1373759732.6199999</v>
      </c>
      <c r="F115" s="583">
        <v>1165361851.6199999</v>
      </c>
      <c r="G115" s="583">
        <v>572293844</v>
      </c>
      <c r="H115" s="583">
        <v>58306596</v>
      </c>
      <c r="I115" s="583">
        <v>208297881</v>
      </c>
      <c r="J115" s="583">
        <v>565874237.38000011</v>
      </c>
      <c r="K115" s="583">
        <v>513332432.38</v>
      </c>
      <c r="L115" s="583">
        <v>50695005</v>
      </c>
      <c r="M115" s="583">
        <v>10564502</v>
      </c>
      <c r="N115" s="583">
        <v>2463297</v>
      </c>
      <c r="O115" s="583">
        <v>515179232.38</v>
      </c>
      <c r="P115" s="583">
        <v>1939633970</v>
      </c>
      <c r="S115" s="397">
        <f t="shared" si="4"/>
        <v>1846800</v>
      </c>
    </row>
    <row r="116" spans="1:19" ht="15.75" x14ac:dyDescent="0.2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R116" s="397">
        <f>R114-I114</f>
        <v>0</v>
      </c>
    </row>
    <row r="117" spans="1:19" ht="15.75" x14ac:dyDescent="0.25">
      <c r="A117" s="10"/>
      <c r="B117" s="10"/>
      <c r="C117" s="10"/>
      <c r="D117" s="10"/>
      <c r="E117" s="398" t="s">
        <v>727</v>
      </c>
      <c r="F117" s="18"/>
      <c r="G117" s="10"/>
      <c r="H117" s="14"/>
      <c r="I117" s="14"/>
      <c r="J117" s="399"/>
      <c r="K117" s="14" t="s">
        <v>728</v>
      </c>
      <c r="L117" s="10"/>
      <c r="M117" s="10"/>
      <c r="N117" s="10"/>
      <c r="O117" s="10"/>
      <c r="P117" s="10"/>
    </row>
    <row r="118" spans="1:19" ht="15.75" x14ac:dyDescent="0.2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</row>
    <row r="122" spans="1:19" ht="15.75" x14ac:dyDescent="0.2">
      <c r="E122" s="410">
        <v>1305886759.6199999</v>
      </c>
      <c r="F122" s="410">
        <v>1113086547.6199999</v>
      </c>
      <c r="G122" s="410">
        <v>563267771</v>
      </c>
      <c r="H122" s="410">
        <v>57945386</v>
      </c>
      <c r="I122" s="410">
        <v>192700212</v>
      </c>
      <c r="J122" s="410">
        <v>523647210.38</v>
      </c>
      <c r="K122" s="410">
        <v>471105405.38</v>
      </c>
      <c r="L122" s="410">
        <v>50695005</v>
      </c>
      <c r="M122" s="410">
        <v>10564502</v>
      </c>
      <c r="N122" s="410">
        <v>2463297</v>
      </c>
      <c r="O122" s="410">
        <v>472952205.38</v>
      </c>
      <c r="P122" s="410">
        <v>1829533970</v>
      </c>
    </row>
    <row r="125" spans="1:19" x14ac:dyDescent="0.2">
      <c r="E125" s="397">
        <f>E115-E122-E127-E128</f>
        <v>-8232677.0000001043</v>
      </c>
      <c r="F125" s="397">
        <f t="shared" ref="F125:P125" si="5">F115-F122-F127-F128</f>
        <v>-4497290.0000000969</v>
      </c>
      <c r="G125" s="397">
        <f t="shared" si="5"/>
        <v>163439.99999989942</v>
      </c>
      <c r="H125" s="397">
        <f t="shared" si="5"/>
        <v>361209.9999999</v>
      </c>
      <c r="I125" s="397">
        <f t="shared" si="5"/>
        <v>-3735387.0000001006</v>
      </c>
      <c r="J125" s="397">
        <f t="shared" si="5"/>
        <v>8232677.0000000186</v>
      </c>
      <c r="K125" s="397">
        <f t="shared" si="5"/>
        <v>8232676.9999899007</v>
      </c>
      <c r="L125" s="397">
        <f t="shared" si="5"/>
        <v>-9.9999999999999995E-8</v>
      </c>
      <c r="M125" s="397">
        <f t="shared" si="5"/>
        <v>-9.9999999999999995E-8</v>
      </c>
      <c r="N125" s="397">
        <f t="shared" si="5"/>
        <v>-9.9999999999999995E-8</v>
      </c>
      <c r="O125" s="397">
        <f t="shared" si="5"/>
        <v>8232676.9999899007</v>
      </c>
      <c r="P125" s="397">
        <f t="shared" si="5"/>
        <v>-9.9986791610717773E-6</v>
      </c>
      <c r="Q125" s="397">
        <f t="shared" ref="Q125" si="6">Q114-Q122-Q127-Q128</f>
        <v>0</v>
      </c>
    </row>
    <row r="127" spans="1:19" x14ac:dyDescent="0.2">
      <c r="E127" s="396">
        <v>1100000</v>
      </c>
      <c r="F127" s="396">
        <v>1100000</v>
      </c>
      <c r="G127" s="396">
        <v>0</v>
      </c>
      <c r="H127" s="396">
        <v>0</v>
      </c>
      <c r="I127" s="396">
        <v>0</v>
      </c>
      <c r="J127" s="396">
        <v>6500000</v>
      </c>
      <c r="K127" s="396">
        <v>6500000</v>
      </c>
      <c r="L127" s="396">
        <v>0</v>
      </c>
      <c r="M127" s="396">
        <v>0</v>
      </c>
      <c r="N127" s="396">
        <v>0</v>
      </c>
      <c r="O127" s="396">
        <v>6500000</v>
      </c>
      <c r="P127" s="396">
        <v>7600000</v>
      </c>
    </row>
    <row r="128" spans="1:19" ht="15.75" x14ac:dyDescent="0.2">
      <c r="E128" s="222">
        <v>75005650.000000104</v>
      </c>
      <c r="F128" s="222">
        <v>55672594.000000097</v>
      </c>
      <c r="G128" s="222">
        <v>8862633.0000001006</v>
      </c>
      <c r="H128" s="222">
        <v>9.9999999999999995E-8</v>
      </c>
      <c r="I128" s="222">
        <v>19333056.000000101</v>
      </c>
      <c r="J128" s="222">
        <v>27494350.000000101</v>
      </c>
      <c r="K128" s="222">
        <v>27494350.000010099</v>
      </c>
      <c r="L128" s="222">
        <v>9.9999999999999995E-8</v>
      </c>
      <c r="M128" s="222">
        <v>9.9999999999999995E-8</v>
      </c>
      <c r="N128" s="222">
        <v>9.9999999999999995E-8</v>
      </c>
      <c r="O128" s="222">
        <v>27494350.000010099</v>
      </c>
      <c r="P128" s="222">
        <v>102500000.00001</v>
      </c>
    </row>
  </sheetData>
  <mergeCells count="26">
    <mergeCell ref="P9:P12"/>
    <mergeCell ref="E10:E12"/>
    <mergeCell ref="F10:F12"/>
    <mergeCell ref="G10:H10"/>
    <mergeCell ref="I10:I12"/>
    <mergeCell ref="J10:J12"/>
    <mergeCell ref="K10:K12"/>
    <mergeCell ref="L10:L12"/>
    <mergeCell ref="M10:N10"/>
    <mergeCell ref="O10:O12"/>
    <mergeCell ref="J9:O9"/>
    <mergeCell ref="M11:M12"/>
    <mergeCell ref="N11:N12"/>
    <mergeCell ref="A9:A12"/>
    <mergeCell ref="B9:B12"/>
    <mergeCell ref="C9:C12"/>
    <mergeCell ref="D9:D12"/>
    <mergeCell ref="E9:I9"/>
    <mergeCell ref="G11:G12"/>
    <mergeCell ref="H11:H12"/>
    <mergeCell ref="D7:E7"/>
    <mergeCell ref="K1:P1"/>
    <mergeCell ref="L2:P2"/>
    <mergeCell ref="A3:P3"/>
    <mergeCell ref="A4:P4"/>
    <mergeCell ref="D5:L6"/>
  </mergeCells>
  <pageMargins left="0.23622047244094491" right="0.19685039370078741" top="0.47244094488188981" bottom="0.27559055118110237" header="0.23622047244094491" footer="0.27559055118110237"/>
  <pageSetup paperSize="9" scale="4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P98"/>
  <sheetViews>
    <sheetView tabSelected="1" view="pageBreakPreview" zoomScale="70" zoomScaleNormal="70" zoomScaleSheetLayoutView="70" workbookViewId="0">
      <selection activeCell="A23" sqref="A23:XFD23"/>
    </sheetView>
  </sheetViews>
  <sheetFormatPr defaultRowHeight="12.75" x14ac:dyDescent="0.2"/>
  <cols>
    <col min="1" max="1" width="9.140625" style="396"/>
    <col min="2" max="2" width="14.42578125" style="396" customWidth="1"/>
    <col min="3" max="3" width="11.7109375" style="396" customWidth="1"/>
    <col min="4" max="4" width="12" style="396" customWidth="1"/>
    <col min="5" max="5" width="49.5703125" style="396" customWidth="1"/>
    <col min="6" max="6" width="44" style="396" customWidth="1"/>
    <col min="7" max="7" width="14.85546875" style="396" customWidth="1"/>
    <col min="8" max="9" width="18.7109375" style="396" customWidth="1"/>
    <col min="10" max="10" width="19.7109375" style="396" customWidth="1"/>
    <col min="11" max="11" width="14.28515625" style="396" customWidth="1"/>
    <col min="12" max="13" width="9.140625" style="396"/>
    <col min="14" max="14" width="19.140625" style="396" customWidth="1"/>
    <col min="15" max="15" width="18.5703125" style="396" customWidth="1"/>
    <col min="16" max="16" width="14.7109375" style="396" customWidth="1"/>
    <col min="17" max="257" width="9.140625" style="396"/>
    <col min="258" max="258" width="14.42578125" style="396" customWidth="1"/>
    <col min="259" max="259" width="11.7109375" style="396" customWidth="1"/>
    <col min="260" max="260" width="12" style="396" customWidth="1"/>
    <col min="261" max="261" width="49.5703125" style="396" customWidth="1"/>
    <col min="262" max="262" width="44" style="396" customWidth="1"/>
    <col min="263" max="263" width="14.85546875" style="396" customWidth="1"/>
    <col min="264" max="265" width="18.7109375" style="396" customWidth="1"/>
    <col min="266" max="266" width="19.7109375" style="396" customWidth="1"/>
    <col min="267" max="267" width="14.28515625" style="396" customWidth="1"/>
    <col min="268" max="269" width="9.140625" style="396"/>
    <col min="270" max="270" width="19.140625" style="396" customWidth="1"/>
    <col min="271" max="271" width="18.5703125" style="396" customWidth="1"/>
    <col min="272" max="272" width="14.7109375" style="396" customWidth="1"/>
    <col min="273" max="513" width="9.140625" style="396"/>
    <col min="514" max="514" width="14.42578125" style="396" customWidth="1"/>
    <col min="515" max="515" width="11.7109375" style="396" customWidth="1"/>
    <col min="516" max="516" width="12" style="396" customWidth="1"/>
    <col min="517" max="517" width="49.5703125" style="396" customWidth="1"/>
    <col min="518" max="518" width="44" style="396" customWidth="1"/>
    <col min="519" max="519" width="14.85546875" style="396" customWidth="1"/>
    <col min="520" max="521" width="18.7109375" style="396" customWidth="1"/>
    <col min="522" max="522" width="19.7109375" style="396" customWidth="1"/>
    <col min="523" max="523" width="14.28515625" style="396" customWidth="1"/>
    <col min="524" max="525" width="9.140625" style="396"/>
    <col min="526" max="526" width="19.140625" style="396" customWidth="1"/>
    <col min="527" max="527" width="18.5703125" style="396" customWidth="1"/>
    <col min="528" max="528" width="14.7109375" style="396" customWidth="1"/>
    <col min="529" max="769" width="9.140625" style="396"/>
    <col min="770" max="770" width="14.42578125" style="396" customWidth="1"/>
    <col min="771" max="771" width="11.7109375" style="396" customWidth="1"/>
    <col min="772" max="772" width="12" style="396" customWidth="1"/>
    <col min="773" max="773" width="49.5703125" style="396" customWidth="1"/>
    <col min="774" max="774" width="44" style="396" customWidth="1"/>
    <col min="775" max="775" width="14.85546875" style="396" customWidth="1"/>
    <col min="776" max="777" width="18.7109375" style="396" customWidth="1"/>
    <col min="778" max="778" width="19.7109375" style="396" customWidth="1"/>
    <col min="779" max="779" width="14.28515625" style="396" customWidth="1"/>
    <col min="780" max="781" width="9.140625" style="396"/>
    <col min="782" max="782" width="19.140625" style="396" customWidth="1"/>
    <col min="783" max="783" width="18.5703125" style="396" customWidth="1"/>
    <col min="784" max="784" width="14.7109375" style="396" customWidth="1"/>
    <col min="785" max="1025" width="9.140625" style="396"/>
    <col min="1026" max="1026" width="14.42578125" style="396" customWidth="1"/>
    <col min="1027" max="1027" width="11.7109375" style="396" customWidth="1"/>
    <col min="1028" max="1028" width="12" style="396" customWidth="1"/>
    <col min="1029" max="1029" width="49.5703125" style="396" customWidth="1"/>
    <col min="1030" max="1030" width="44" style="396" customWidth="1"/>
    <col min="1031" max="1031" width="14.85546875" style="396" customWidth="1"/>
    <col min="1032" max="1033" width="18.7109375" style="396" customWidth="1"/>
    <col min="1034" max="1034" width="19.7109375" style="396" customWidth="1"/>
    <col min="1035" max="1035" width="14.28515625" style="396" customWidth="1"/>
    <col min="1036" max="1037" width="9.140625" style="396"/>
    <col min="1038" max="1038" width="19.140625" style="396" customWidth="1"/>
    <col min="1039" max="1039" width="18.5703125" style="396" customWidth="1"/>
    <col min="1040" max="1040" width="14.7109375" style="396" customWidth="1"/>
    <col min="1041" max="1281" width="9.140625" style="396"/>
    <col min="1282" max="1282" width="14.42578125" style="396" customWidth="1"/>
    <col min="1283" max="1283" width="11.7109375" style="396" customWidth="1"/>
    <col min="1284" max="1284" width="12" style="396" customWidth="1"/>
    <col min="1285" max="1285" width="49.5703125" style="396" customWidth="1"/>
    <col min="1286" max="1286" width="44" style="396" customWidth="1"/>
    <col min="1287" max="1287" width="14.85546875" style="396" customWidth="1"/>
    <col min="1288" max="1289" width="18.7109375" style="396" customWidth="1"/>
    <col min="1290" max="1290" width="19.7109375" style="396" customWidth="1"/>
    <col min="1291" max="1291" width="14.28515625" style="396" customWidth="1"/>
    <col min="1292" max="1293" width="9.140625" style="396"/>
    <col min="1294" max="1294" width="19.140625" style="396" customWidth="1"/>
    <col min="1295" max="1295" width="18.5703125" style="396" customWidth="1"/>
    <col min="1296" max="1296" width="14.7109375" style="396" customWidth="1"/>
    <col min="1297" max="1537" width="9.140625" style="396"/>
    <col min="1538" max="1538" width="14.42578125" style="396" customWidth="1"/>
    <col min="1539" max="1539" width="11.7109375" style="396" customWidth="1"/>
    <col min="1540" max="1540" width="12" style="396" customWidth="1"/>
    <col min="1541" max="1541" width="49.5703125" style="396" customWidth="1"/>
    <col min="1542" max="1542" width="44" style="396" customWidth="1"/>
    <col min="1543" max="1543" width="14.85546875" style="396" customWidth="1"/>
    <col min="1544" max="1545" width="18.7109375" style="396" customWidth="1"/>
    <col min="1546" max="1546" width="19.7109375" style="396" customWidth="1"/>
    <col min="1547" max="1547" width="14.28515625" style="396" customWidth="1"/>
    <col min="1548" max="1549" width="9.140625" style="396"/>
    <col min="1550" max="1550" width="19.140625" style="396" customWidth="1"/>
    <col min="1551" max="1551" width="18.5703125" style="396" customWidth="1"/>
    <col min="1552" max="1552" width="14.7109375" style="396" customWidth="1"/>
    <col min="1553" max="1793" width="9.140625" style="396"/>
    <col min="1794" max="1794" width="14.42578125" style="396" customWidth="1"/>
    <col min="1795" max="1795" width="11.7109375" style="396" customWidth="1"/>
    <col min="1796" max="1796" width="12" style="396" customWidth="1"/>
    <col min="1797" max="1797" width="49.5703125" style="396" customWidth="1"/>
    <col min="1798" max="1798" width="44" style="396" customWidth="1"/>
    <col min="1799" max="1799" width="14.85546875" style="396" customWidth="1"/>
    <col min="1800" max="1801" width="18.7109375" style="396" customWidth="1"/>
    <col min="1802" max="1802" width="19.7109375" style="396" customWidth="1"/>
    <col min="1803" max="1803" width="14.28515625" style="396" customWidth="1"/>
    <col min="1804" max="1805" width="9.140625" style="396"/>
    <col min="1806" max="1806" width="19.140625" style="396" customWidth="1"/>
    <col min="1807" max="1807" width="18.5703125" style="396" customWidth="1"/>
    <col min="1808" max="1808" width="14.7109375" style="396" customWidth="1"/>
    <col min="1809" max="2049" width="9.140625" style="396"/>
    <col min="2050" max="2050" width="14.42578125" style="396" customWidth="1"/>
    <col min="2051" max="2051" width="11.7109375" style="396" customWidth="1"/>
    <col min="2052" max="2052" width="12" style="396" customWidth="1"/>
    <col min="2053" max="2053" width="49.5703125" style="396" customWidth="1"/>
    <col min="2054" max="2054" width="44" style="396" customWidth="1"/>
    <col min="2055" max="2055" width="14.85546875" style="396" customWidth="1"/>
    <col min="2056" max="2057" width="18.7109375" style="396" customWidth="1"/>
    <col min="2058" max="2058" width="19.7109375" style="396" customWidth="1"/>
    <col min="2059" max="2059" width="14.28515625" style="396" customWidth="1"/>
    <col min="2060" max="2061" width="9.140625" style="396"/>
    <col min="2062" max="2062" width="19.140625" style="396" customWidth="1"/>
    <col min="2063" max="2063" width="18.5703125" style="396" customWidth="1"/>
    <col min="2064" max="2064" width="14.7109375" style="396" customWidth="1"/>
    <col min="2065" max="2305" width="9.140625" style="396"/>
    <col min="2306" max="2306" width="14.42578125" style="396" customWidth="1"/>
    <col min="2307" max="2307" width="11.7109375" style="396" customWidth="1"/>
    <col min="2308" max="2308" width="12" style="396" customWidth="1"/>
    <col min="2309" max="2309" width="49.5703125" style="396" customWidth="1"/>
    <col min="2310" max="2310" width="44" style="396" customWidth="1"/>
    <col min="2311" max="2311" width="14.85546875" style="396" customWidth="1"/>
    <col min="2312" max="2313" width="18.7109375" style="396" customWidth="1"/>
    <col min="2314" max="2314" width="19.7109375" style="396" customWidth="1"/>
    <col min="2315" max="2315" width="14.28515625" style="396" customWidth="1"/>
    <col min="2316" max="2317" width="9.140625" style="396"/>
    <col min="2318" max="2318" width="19.140625" style="396" customWidth="1"/>
    <col min="2319" max="2319" width="18.5703125" style="396" customWidth="1"/>
    <col min="2320" max="2320" width="14.7109375" style="396" customWidth="1"/>
    <col min="2321" max="2561" width="9.140625" style="396"/>
    <col min="2562" max="2562" width="14.42578125" style="396" customWidth="1"/>
    <col min="2563" max="2563" width="11.7109375" style="396" customWidth="1"/>
    <col min="2564" max="2564" width="12" style="396" customWidth="1"/>
    <col min="2565" max="2565" width="49.5703125" style="396" customWidth="1"/>
    <col min="2566" max="2566" width="44" style="396" customWidth="1"/>
    <col min="2567" max="2567" width="14.85546875" style="396" customWidth="1"/>
    <col min="2568" max="2569" width="18.7109375" style="396" customWidth="1"/>
    <col min="2570" max="2570" width="19.7109375" style="396" customWidth="1"/>
    <col min="2571" max="2571" width="14.28515625" style="396" customWidth="1"/>
    <col min="2572" max="2573" width="9.140625" style="396"/>
    <col min="2574" max="2574" width="19.140625" style="396" customWidth="1"/>
    <col min="2575" max="2575" width="18.5703125" style="396" customWidth="1"/>
    <col min="2576" max="2576" width="14.7109375" style="396" customWidth="1"/>
    <col min="2577" max="2817" width="9.140625" style="396"/>
    <col min="2818" max="2818" width="14.42578125" style="396" customWidth="1"/>
    <col min="2819" max="2819" width="11.7109375" style="396" customWidth="1"/>
    <col min="2820" max="2820" width="12" style="396" customWidth="1"/>
    <col min="2821" max="2821" width="49.5703125" style="396" customWidth="1"/>
    <col min="2822" max="2822" width="44" style="396" customWidth="1"/>
    <col min="2823" max="2823" width="14.85546875" style="396" customWidth="1"/>
    <col min="2824" max="2825" width="18.7109375" style="396" customWidth="1"/>
    <col min="2826" max="2826" width="19.7109375" style="396" customWidth="1"/>
    <col min="2827" max="2827" width="14.28515625" style="396" customWidth="1"/>
    <col min="2828" max="2829" width="9.140625" style="396"/>
    <col min="2830" max="2830" width="19.140625" style="396" customWidth="1"/>
    <col min="2831" max="2831" width="18.5703125" style="396" customWidth="1"/>
    <col min="2832" max="2832" width="14.7109375" style="396" customWidth="1"/>
    <col min="2833" max="3073" width="9.140625" style="396"/>
    <col min="3074" max="3074" width="14.42578125" style="396" customWidth="1"/>
    <col min="3075" max="3075" width="11.7109375" style="396" customWidth="1"/>
    <col min="3076" max="3076" width="12" style="396" customWidth="1"/>
    <col min="3077" max="3077" width="49.5703125" style="396" customWidth="1"/>
    <col min="3078" max="3078" width="44" style="396" customWidth="1"/>
    <col min="3079" max="3079" width="14.85546875" style="396" customWidth="1"/>
    <col min="3080" max="3081" width="18.7109375" style="396" customWidth="1"/>
    <col min="3082" max="3082" width="19.7109375" style="396" customWidth="1"/>
    <col min="3083" max="3083" width="14.28515625" style="396" customWidth="1"/>
    <col min="3084" max="3085" width="9.140625" style="396"/>
    <col min="3086" max="3086" width="19.140625" style="396" customWidth="1"/>
    <col min="3087" max="3087" width="18.5703125" style="396" customWidth="1"/>
    <col min="3088" max="3088" width="14.7109375" style="396" customWidth="1"/>
    <col min="3089" max="3329" width="9.140625" style="396"/>
    <col min="3330" max="3330" width="14.42578125" style="396" customWidth="1"/>
    <col min="3331" max="3331" width="11.7109375" style="396" customWidth="1"/>
    <col min="3332" max="3332" width="12" style="396" customWidth="1"/>
    <col min="3333" max="3333" width="49.5703125" style="396" customWidth="1"/>
    <col min="3334" max="3334" width="44" style="396" customWidth="1"/>
    <col min="3335" max="3335" width="14.85546875" style="396" customWidth="1"/>
    <col min="3336" max="3337" width="18.7109375" style="396" customWidth="1"/>
    <col min="3338" max="3338" width="19.7109375" style="396" customWidth="1"/>
    <col min="3339" max="3339" width="14.28515625" style="396" customWidth="1"/>
    <col min="3340" max="3341" width="9.140625" style="396"/>
    <col min="3342" max="3342" width="19.140625" style="396" customWidth="1"/>
    <col min="3343" max="3343" width="18.5703125" style="396" customWidth="1"/>
    <col min="3344" max="3344" width="14.7109375" style="396" customWidth="1"/>
    <col min="3345" max="3585" width="9.140625" style="396"/>
    <col min="3586" max="3586" width="14.42578125" style="396" customWidth="1"/>
    <col min="3587" max="3587" width="11.7109375" style="396" customWidth="1"/>
    <col min="3588" max="3588" width="12" style="396" customWidth="1"/>
    <col min="3589" max="3589" width="49.5703125" style="396" customWidth="1"/>
    <col min="3590" max="3590" width="44" style="396" customWidth="1"/>
    <col min="3591" max="3591" width="14.85546875" style="396" customWidth="1"/>
    <col min="3592" max="3593" width="18.7109375" style="396" customWidth="1"/>
    <col min="3594" max="3594" width="19.7109375" style="396" customWidth="1"/>
    <col min="3595" max="3595" width="14.28515625" style="396" customWidth="1"/>
    <col min="3596" max="3597" width="9.140625" style="396"/>
    <col min="3598" max="3598" width="19.140625" style="396" customWidth="1"/>
    <col min="3599" max="3599" width="18.5703125" style="396" customWidth="1"/>
    <col min="3600" max="3600" width="14.7109375" style="396" customWidth="1"/>
    <col min="3601" max="3841" width="9.140625" style="396"/>
    <col min="3842" max="3842" width="14.42578125" style="396" customWidth="1"/>
    <col min="3843" max="3843" width="11.7109375" style="396" customWidth="1"/>
    <col min="3844" max="3844" width="12" style="396" customWidth="1"/>
    <col min="3845" max="3845" width="49.5703125" style="396" customWidth="1"/>
    <col min="3846" max="3846" width="44" style="396" customWidth="1"/>
    <col min="3847" max="3847" width="14.85546875" style="396" customWidth="1"/>
    <col min="3848" max="3849" width="18.7109375" style="396" customWidth="1"/>
    <col min="3850" max="3850" width="19.7109375" style="396" customWidth="1"/>
    <col min="3851" max="3851" width="14.28515625" style="396" customWidth="1"/>
    <col min="3852" max="3853" width="9.140625" style="396"/>
    <col min="3854" max="3854" width="19.140625" style="396" customWidth="1"/>
    <col min="3855" max="3855" width="18.5703125" style="396" customWidth="1"/>
    <col min="3856" max="3856" width="14.7109375" style="396" customWidth="1"/>
    <col min="3857" max="4097" width="9.140625" style="396"/>
    <col min="4098" max="4098" width="14.42578125" style="396" customWidth="1"/>
    <col min="4099" max="4099" width="11.7109375" style="396" customWidth="1"/>
    <col min="4100" max="4100" width="12" style="396" customWidth="1"/>
    <col min="4101" max="4101" width="49.5703125" style="396" customWidth="1"/>
    <col min="4102" max="4102" width="44" style="396" customWidth="1"/>
    <col min="4103" max="4103" width="14.85546875" style="396" customWidth="1"/>
    <col min="4104" max="4105" width="18.7109375" style="396" customWidth="1"/>
    <col min="4106" max="4106" width="19.7109375" style="396" customWidth="1"/>
    <col min="4107" max="4107" width="14.28515625" style="396" customWidth="1"/>
    <col min="4108" max="4109" width="9.140625" style="396"/>
    <col min="4110" max="4110" width="19.140625" style="396" customWidth="1"/>
    <col min="4111" max="4111" width="18.5703125" style="396" customWidth="1"/>
    <col min="4112" max="4112" width="14.7109375" style="396" customWidth="1"/>
    <col min="4113" max="4353" width="9.140625" style="396"/>
    <col min="4354" max="4354" width="14.42578125" style="396" customWidth="1"/>
    <col min="4355" max="4355" width="11.7109375" style="396" customWidth="1"/>
    <col min="4356" max="4356" width="12" style="396" customWidth="1"/>
    <col min="4357" max="4357" width="49.5703125" style="396" customWidth="1"/>
    <col min="4358" max="4358" width="44" style="396" customWidth="1"/>
    <col min="4359" max="4359" width="14.85546875" style="396" customWidth="1"/>
    <col min="4360" max="4361" width="18.7109375" style="396" customWidth="1"/>
    <col min="4362" max="4362" width="19.7109375" style="396" customWidth="1"/>
    <col min="4363" max="4363" width="14.28515625" style="396" customWidth="1"/>
    <col min="4364" max="4365" width="9.140625" style="396"/>
    <col min="4366" max="4366" width="19.140625" style="396" customWidth="1"/>
    <col min="4367" max="4367" width="18.5703125" style="396" customWidth="1"/>
    <col min="4368" max="4368" width="14.7109375" style="396" customWidth="1"/>
    <col min="4369" max="4609" width="9.140625" style="396"/>
    <col min="4610" max="4610" width="14.42578125" style="396" customWidth="1"/>
    <col min="4611" max="4611" width="11.7109375" style="396" customWidth="1"/>
    <col min="4612" max="4612" width="12" style="396" customWidth="1"/>
    <col min="4613" max="4613" width="49.5703125" style="396" customWidth="1"/>
    <col min="4614" max="4614" width="44" style="396" customWidth="1"/>
    <col min="4615" max="4615" width="14.85546875" style="396" customWidth="1"/>
    <col min="4616" max="4617" width="18.7109375" style="396" customWidth="1"/>
    <col min="4618" max="4618" width="19.7109375" style="396" customWidth="1"/>
    <col min="4619" max="4619" width="14.28515625" style="396" customWidth="1"/>
    <col min="4620" max="4621" width="9.140625" style="396"/>
    <col min="4622" max="4622" width="19.140625" style="396" customWidth="1"/>
    <col min="4623" max="4623" width="18.5703125" style="396" customWidth="1"/>
    <col min="4624" max="4624" width="14.7109375" style="396" customWidth="1"/>
    <col min="4625" max="4865" width="9.140625" style="396"/>
    <col min="4866" max="4866" width="14.42578125" style="396" customWidth="1"/>
    <col min="4867" max="4867" width="11.7109375" style="396" customWidth="1"/>
    <col min="4868" max="4868" width="12" style="396" customWidth="1"/>
    <col min="4869" max="4869" width="49.5703125" style="396" customWidth="1"/>
    <col min="4870" max="4870" width="44" style="396" customWidth="1"/>
    <col min="4871" max="4871" width="14.85546875" style="396" customWidth="1"/>
    <col min="4872" max="4873" width="18.7109375" style="396" customWidth="1"/>
    <col min="4874" max="4874" width="19.7109375" style="396" customWidth="1"/>
    <col min="4875" max="4875" width="14.28515625" style="396" customWidth="1"/>
    <col min="4876" max="4877" width="9.140625" style="396"/>
    <col min="4878" max="4878" width="19.140625" style="396" customWidth="1"/>
    <col min="4879" max="4879" width="18.5703125" style="396" customWidth="1"/>
    <col min="4880" max="4880" width="14.7109375" style="396" customWidth="1"/>
    <col min="4881" max="5121" width="9.140625" style="396"/>
    <col min="5122" max="5122" width="14.42578125" style="396" customWidth="1"/>
    <col min="5123" max="5123" width="11.7109375" style="396" customWidth="1"/>
    <col min="5124" max="5124" width="12" style="396" customWidth="1"/>
    <col min="5125" max="5125" width="49.5703125" style="396" customWidth="1"/>
    <col min="5126" max="5126" width="44" style="396" customWidth="1"/>
    <col min="5127" max="5127" width="14.85546875" style="396" customWidth="1"/>
    <col min="5128" max="5129" width="18.7109375" style="396" customWidth="1"/>
    <col min="5130" max="5130" width="19.7109375" style="396" customWidth="1"/>
    <col min="5131" max="5131" width="14.28515625" style="396" customWidth="1"/>
    <col min="5132" max="5133" width="9.140625" style="396"/>
    <col min="5134" max="5134" width="19.140625" style="396" customWidth="1"/>
    <col min="5135" max="5135" width="18.5703125" style="396" customWidth="1"/>
    <col min="5136" max="5136" width="14.7109375" style="396" customWidth="1"/>
    <col min="5137" max="5377" width="9.140625" style="396"/>
    <col min="5378" max="5378" width="14.42578125" style="396" customWidth="1"/>
    <col min="5379" max="5379" width="11.7109375" style="396" customWidth="1"/>
    <col min="5380" max="5380" width="12" style="396" customWidth="1"/>
    <col min="5381" max="5381" width="49.5703125" style="396" customWidth="1"/>
    <col min="5382" max="5382" width="44" style="396" customWidth="1"/>
    <col min="5383" max="5383" width="14.85546875" style="396" customWidth="1"/>
    <col min="5384" max="5385" width="18.7109375" style="396" customWidth="1"/>
    <col min="5386" max="5386" width="19.7109375" style="396" customWidth="1"/>
    <col min="5387" max="5387" width="14.28515625" style="396" customWidth="1"/>
    <col min="5388" max="5389" width="9.140625" style="396"/>
    <col min="5390" max="5390" width="19.140625" style="396" customWidth="1"/>
    <col min="5391" max="5391" width="18.5703125" style="396" customWidth="1"/>
    <col min="5392" max="5392" width="14.7109375" style="396" customWidth="1"/>
    <col min="5393" max="5633" width="9.140625" style="396"/>
    <col min="5634" max="5634" width="14.42578125" style="396" customWidth="1"/>
    <col min="5635" max="5635" width="11.7109375" style="396" customWidth="1"/>
    <col min="5636" max="5636" width="12" style="396" customWidth="1"/>
    <col min="5637" max="5637" width="49.5703125" style="396" customWidth="1"/>
    <col min="5638" max="5638" width="44" style="396" customWidth="1"/>
    <col min="5639" max="5639" width="14.85546875" style="396" customWidth="1"/>
    <col min="5640" max="5641" width="18.7109375" style="396" customWidth="1"/>
    <col min="5642" max="5642" width="19.7109375" style="396" customWidth="1"/>
    <col min="5643" max="5643" width="14.28515625" style="396" customWidth="1"/>
    <col min="5644" max="5645" width="9.140625" style="396"/>
    <col min="5646" max="5646" width="19.140625" style="396" customWidth="1"/>
    <col min="5647" max="5647" width="18.5703125" style="396" customWidth="1"/>
    <col min="5648" max="5648" width="14.7109375" style="396" customWidth="1"/>
    <col min="5649" max="5889" width="9.140625" style="396"/>
    <col min="5890" max="5890" width="14.42578125" style="396" customWidth="1"/>
    <col min="5891" max="5891" width="11.7109375" style="396" customWidth="1"/>
    <col min="5892" max="5892" width="12" style="396" customWidth="1"/>
    <col min="5893" max="5893" width="49.5703125" style="396" customWidth="1"/>
    <col min="5894" max="5894" width="44" style="396" customWidth="1"/>
    <col min="5895" max="5895" width="14.85546875" style="396" customWidth="1"/>
    <col min="5896" max="5897" width="18.7109375" style="396" customWidth="1"/>
    <col min="5898" max="5898" width="19.7109375" style="396" customWidth="1"/>
    <col min="5899" max="5899" width="14.28515625" style="396" customWidth="1"/>
    <col min="5900" max="5901" width="9.140625" style="396"/>
    <col min="5902" max="5902" width="19.140625" style="396" customWidth="1"/>
    <col min="5903" max="5903" width="18.5703125" style="396" customWidth="1"/>
    <col min="5904" max="5904" width="14.7109375" style="396" customWidth="1"/>
    <col min="5905" max="6145" width="9.140625" style="396"/>
    <col min="6146" max="6146" width="14.42578125" style="396" customWidth="1"/>
    <col min="6147" max="6147" width="11.7109375" style="396" customWidth="1"/>
    <col min="6148" max="6148" width="12" style="396" customWidth="1"/>
    <col min="6149" max="6149" width="49.5703125" style="396" customWidth="1"/>
    <col min="6150" max="6150" width="44" style="396" customWidth="1"/>
    <col min="6151" max="6151" width="14.85546875" style="396" customWidth="1"/>
    <col min="6152" max="6153" width="18.7109375" style="396" customWidth="1"/>
    <col min="6154" max="6154" width="19.7109375" style="396" customWidth="1"/>
    <col min="6155" max="6155" width="14.28515625" style="396" customWidth="1"/>
    <col min="6156" max="6157" width="9.140625" style="396"/>
    <col min="6158" max="6158" width="19.140625" style="396" customWidth="1"/>
    <col min="6159" max="6159" width="18.5703125" style="396" customWidth="1"/>
    <col min="6160" max="6160" width="14.7109375" style="396" customWidth="1"/>
    <col min="6161" max="6401" width="9.140625" style="396"/>
    <col min="6402" max="6402" width="14.42578125" style="396" customWidth="1"/>
    <col min="6403" max="6403" width="11.7109375" style="396" customWidth="1"/>
    <col min="6404" max="6404" width="12" style="396" customWidth="1"/>
    <col min="6405" max="6405" width="49.5703125" style="396" customWidth="1"/>
    <col min="6406" max="6406" width="44" style="396" customWidth="1"/>
    <col min="6407" max="6407" width="14.85546875" style="396" customWidth="1"/>
    <col min="6408" max="6409" width="18.7109375" style="396" customWidth="1"/>
    <col min="6410" max="6410" width="19.7109375" style="396" customWidth="1"/>
    <col min="6411" max="6411" width="14.28515625" style="396" customWidth="1"/>
    <col min="6412" max="6413" width="9.140625" style="396"/>
    <col min="6414" max="6414" width="19.140625" style="396" customWidth="1"/>
    <col min="6415" max="6415" width="18.5703125" style="396" customWidth="1"/>
    <col min="6416" max="6416" width="14.7109375" style="396" customWidth="1"/>
    <col min="6417" max="6657" width="9.140625" style="396"/>
    <col min="6658" max="6658" width="14.42578125" style="396" customWidth="1"/>
    <col min="6659" max="6659" width="11.7109375" style="396" customWidth="1"/>
    <col min="6660" max="6660" width="12" style="396" customWidth="1"/>
    <col min="6661" max="6661" width="49.5703125" style="396" customWidth="1"/>
    <col min="6662" max="6662" width="44" style="396" customWidth="1"/>
    <col min="6663" max="6663" width="14.85546875" style="396" customWidth="1"/>
    <col min="6664" max="6665" width="18.7109375" style="396" customWidth="1"/>
    <col min="6666" max="6666" width="19.7109375" style="396" customWidth="1"/>
    <col min="6667" max="6667" width="14.28515625" style="396" customWidth="1"/>
    <col min="6668" max="6669" width="9.140625" style="396"/>
    <col min="6670" max="6670" width="19.140625" style="396" customWidth="1"/>
    <col min="6671" max="6671" width="18.5703125" style="396" customWidth="1"/>
    <col min="6672" max="6672" width="14.7109375" style="396" customWidth="1"/>
    <col min="6673" max="6913" width="9.140625" style="396"/>
    <col min="6914" max="6914" width="14.42578125" style="396" customWidth="1"/>
    <col min="6915" max="6915" width="11.7109375" style="396" customWidth="1"/>
    <col min="6916" max="6916" width="12" style="396" customWidth="1"/>
    <col min="6917" max="6917" width="49.5703125" style="396" customWidth="1"/>
    <col min="6918" max="6918" width="44" style="396" customWidth="1"/>
    <col min="6919" max="6919" width="14.85546875" style="396" customWidth="1"/>
    <col min="6920" max="6921" width="18.7109375" style="396" customWidth="1"/>
    <col min="6922" max="6922" width="19.7109375" style="396" customWidth="1"/>
    <col min="6923" max="6923" width="14.28515625" style="396" customWidth="1"/>
    <col min="6924" max="6925" width="9.140625" style="396"/>
    <col min="6926" max="6926" width="19.140625" style="396" customWidth="1"/>
    <col min="6927" max="6927" width="18.5703125" style="396" customWidth="1"/>
    <col min="6928" max="6928" width="14.7109375" style="396" customWidth="1"/>
    <col min="6929" max="7169" width="9.140625" style="396"/>
    <col min="7170" max="7170" width="14.42578125" style="396" customWidth="1"/>
    <col min="7171" max="7171" width="11.7109375" style="396" customWidth="1"/>
    <col min="7172" max="7172" width="12" style="396" customWidth="1"/>
    <col min="7173" max="7173" width="49.5703125" style="396" customWidth="1"/>
    <col min="7174" max="7174" width="44" style="396" customWidth="1"/>
    <col min="7175" max="7175" width="14.85546875" style="396" customWidth="1"/>
    <col min="7176" max="7177" width="18.7109375" style="396" customWidth="1"/>
    <col min="7178" max="7178" width="19.7109375" style="396" customWidth="1"/>
    <col min="7179" max="7179" width="14.28515625" style="396" customWidth="1"/>
    <col min="7180" max="7181" width="9.140625" style="396"/>
    <col min="7182" max="7182" width="19.140625" style="396" customWidth="1"/>
    <col min="7183" max="7183" width="18.5703125" style="396" customWidth="1"/>
    <col min="7184" max="7184" width="14.7109375" style="396" customWidth="1"/>
    <col min="7185" max="7425" width="9.140625" style="396"/>
    <col min="7426" max="7426" width="14.42578125" style="396" customWidth="1"/>
    <col min="7427" max="7427" width="11.7109375" style="396" customWidth="1"/>
    <col min="7428" max="7428" width="12" style="396" customWidth="1"/>
    <col min="7429" max="7429" width="49.5703125" style="396" customWidth="1"/>
    <col min="7430" max="7430" width="44" style="396" customWidth="1"/>
    <col min="7431" max="7431" width="14.85546875" style="396" customWidth="1"/>
    <col min="7432" max="7433" width="18.7109375" style="396" customWidth="1"/>
    <col min="7434" max="7434" width="19.7109375" style="396" customWidth="1"/>
    <col min="7435" max="7435" width="14.28515625" style="396" customWidth="1"/>
    <col min="7436" max="7437" width="9.140625" style="396"/>
    <col min="7438" max="7438" width="19.140625" style="396" customWidth="1"/>
    <col min="7439" max="7439" width="18.5703125" style="396" customWidth="1"/>
    <col min="7440" max="7440" width="14.7109375" style="396" customWidth="1"/>
    <col min="7441" max="7681" width="9.140625" style="396"/>
    <col min="7682" max="7682" width="14.42578125" style="396" customWidth="1"/>
    <col min="7683" max="7683" width="11.7109375" style="396" customWidth="1"/>
    <col min="7684" max="7684" width="12" style="396" customWidth="1"/>
    <col min="7685" max="7685" width="49.5703125" style="396" customWidth="1"/>
    <col min="7686" max="7686" width="44" style="396" customWidth="1"/>
    <col min="7687" max="7687" width="14.85546875" style="396" customWidth="1"/>
    <col min="7688" max="7689" width="18.7109375" style="396" customWidth="1"/>
    <col min="7690" max="7690" width="19.7109375" style="396" customWidth="1"/>
    <col min="7691" max="7691" width="14.28515625" style="396" customWidth="1"/>
    <col min="7692" max="7693" width="9.140625" style="396"/>
    <col min="7694" max="7694" width="19.140625" style="396" customWidth="1"/>
    <col min="7695" max="7695" width="18.5703125" style="396" customWidth="1"/>
    <col min="7696" max="7696" width="14.7109375" style="396" customWidth="1"/>
    <col min="7697" max="7937" width="9.140625" style="396"/>
    <col min="7938" max="7938" width="14.42578125" style="396" customWidth="1"/>
    <col min="7939" max="7939" width="11.7109375" style="396" customWidth="1"/>
    <col min="7940" max="7940" width="12" style="396" customWidth="1"/>
    <col min="7941" max="7941" width="49.5703125" style="396" customWidth="1"/>
    <col min="7942" max="7942" width="44" style="396" customWidth="1"/>
    <col min="7943" max="7943" width="14.85546875" style="396" customWidth="1"/>
    <col min="7944" max="7945" width="18.7109375" style="396" customWidth="1"/>
    <col min="7946" max="7946" width="19.7109375" style="396" customWidth="1"/>
    <col min="7947" max="7947" width="14.28515625" style="396" customWidth="1"/>
    <col min="7948" max="7949" width="9.140625" style="396"/>
    <col min="7950" max="7950" width="19.140625" style="396" customWidth="1"/>
    <col min="7951" max="7951" width="18.5703125" style="396" customWidth="1"/>
    <col min="7952" max="7952" width="14.7109375" style="396" customWidth="1"/>
    <col min="7953" max="8193" width="9.140625" style="396"/>
    <col min="8194" max="8194" width="14.42578125" style="396" customWidth="1"/>
    <col min="8195" max="8195" width="11.7109375" style="396" customWidth="1"/>
    <col min="8196" max="8196" width="12" style="396" customWidth="1"/>
    <col min="8197" max="8197" width="49.5703125" style="396" customWidth="1"/>
    <col min="8198" max="8198" width="44" style="396" customWidth="1"/>
    <col min="8199" max="8199" width="14.85546875" style="396" customWidth="1"/>
    <col min="8200" max="8201" width="18.7109375" style="396" customWidth="1"/>
    <col min="8202" max="8202" width="19.7109375" style="396" customWidth="1"/>
    <col min="8203" max="8203" width="14.28515625" style="396" customWidth="1"/>
    <col min="8204" max="8205" width="9.140625" style="396"/>
    <col min="8206" max="8206" width="19.140625" style="396" customWidth="1"/>
    <col min="8207" max="8207" width="18.5703125" style="396" customWidth="1"/>
    <col min="8208" max="8208" width="14.7109375" style="396" customWidth="1"/>
    <col min="8209" max="8449" width="9.140625" style="396"/>
    <col min="8450" max="8450" width="14.42578125" style="396" customWidth="1"/>
    <col min="8451" max="8451" width="11.7109375" style="396" customWidth="1"/>
    <col min="8452" max="8452" width="12" style="396" customWidth="1"/>
    <col min="8453" max="8453" width="49.5703125" style="396" customWidth="1"/>
    <col min="8454" max="8454" width="44" style="396" customWidth="1"/>
    <col min="8455" max="8455" width="14.85546875" style="396" customWidth="1"/>
    <col min="8456" max="8457" width="18.7109375" style="396" customWidth="1"/>
    <col min="8458" max="8458" width="19.7109375" style="396" customWidth="1"/>
    <col min="8459" max="8459" width="14.28515625" style="396" customWidth="1"/>
    <col min="8460" max="8461" width="9.140625" style="396"/>
    <col min="8462" max="8462" width="19.140625" style="396" customWidth="1"/>
    <col min="8463" max="8463" width="18.5703125" style="396" customWidth="1"/>
    <col min="8464" max="8464" width="14.7109375" style="396" customWidth="1"/>
    <col min="8465" max="8705" width="9.140625" style="396"/>
    <col min="8706" max="8706" width="14.42578125" style="396" customWidth="1"/>
    <col min="8707" max="8707" width="11.7109375" style="396" customWidth="1"/>
    <col min="8708" max="8708" width="12" style="396" customWidth="1"/>
    <col min="8709" max="8709" width="49.5703125" style="396" customWidth="1"/>
    <col min="8710" max="8710" width="44" style="396" customWidth="1"/>
    <col min="8711" max="8711" width="14.85546875" style="396" customWidth="1"/>
    <col min="8712" max="8713" width="18.7109375" style="396" customWidth="1"/>
    <col min="8714" max="8714" width="19.7109375" style="396" customWidth="1"/>
    <col min="8715" max="8715" width="14.28515625" style="396" customWidth="1"/>
    <col min="8716" max="8717" width="9.140625" style="396"/>
    <col min="8718" max="8718" width="19.140625" style="396" customWidth="1"/>
    <col min="8719" max="8719" width="18.5703125" style="396" customWidth="1"/>
    <col min="8720" max="8720" width="14.7109375" style="396" customWidth="1"/>
    <col min="8721" max="8961" width="9.140625" style="396"/>
    <col min="8962" max="8962" width="14.42578125" style="396" customWidth="1"/>
    <col min="8963" max="8963" width="11.7109375" style="396" customWidth="1"/>
    <col min="8964" max="8964" width="12" style="396" customWidth="1"/>
    <col min="8965" max="8965" width="49.5703125" style="396" customWidth="1"/>
    <col min="8966" max="8966" width="44" style="396" customWidth="1"/>
    <col min="8967" max="8967" width="14.85546875" style="396" customWidth="1"/>
    <col min="8968" max="8969" width="18.7109375" style="396" customWidth="1"/>
    <col min="8970" max="8970" width="19.7109375" style="396" customWidth="1"/>
    <col min="8971" max="8971" width="14.28515625" style="396" customWidth="1"/>
    <col min="8972" max="8973" width="9.140625" style="396"/>
    <col min="8974" max="8974" width="19.140625" style="396" customWidth="1"/>
    <col min="8975" max="8975" width="18.5703125" style="396" customWidth="1"/>
    <col min="8976" max="8976" width="14.7109375" style="396" customWidth="1"/>
    <col min="8977" max="9217" width="9.140625" style="396"/>
    <col min="9218" max="9218" width="14.42578125" style="396" customWidth="1"/>
    <col min="9219" max="9219" width="11.7109375" style="396" customWidth="1"/>
    <col min="9220" max="9220" width="12" style="396" customWidth="1"/>
    <col min="9221" max="9221" width="49.5703125" style="396" customWidth="1"/>
    <col min="9222" max="9222" width="44" style="396" customWidth="1"/>
    <col min="9223" max="9223" width="14.85546875" style="396" customWidth="1"/>
    <col min="9224" max="9225" width="18.7109375" style="396" customWidth="1"/>
    <col min="9226" max="9226" width="19.7109375" style="396" customWidth="1"/>
    <col min="9227" max="9227" width="14.28515625" style="396" customWidth="1"/>
    <col min="9228" max="9229" width="9.140625" style="396"/>
    <col min="9230" max="9230" width="19.140625" style="396" customWidth="1"/>
    <col min="9231" max="9231" width="18.5703125" style="396" customWidth="1"/>
    <col min="9232" max="9232" width="14.7109375" style="396" customWidth="1"/>
    <col min="9233" max="9473" width="9.140625" style="396"/>
    <col min="9474" max="9474" width="14.42578125" style="396" customWidth="1"/>
    <col min="9475" max="9475" width="11.7109375" style="396" customWidth="1"/>
    <col min="9476" max="9476" width="12" style="396" customWidth="1"/>
    <col min="9477" max="9477" width="49.5703125" style="396" customWidth="1"/>
    <col min="9478" max="9478" width="44" style="396" customWidth="1"/>
    <col min="9479" max="9479" width="14.85546875" style="396" customWidth="1"/>
    <col min="9480" max="9481" width="18.7109375" style="396" customWidth="1"/>
    <col min="9482" max="9482" width="19.7109375" style="396" customWidth="1"/>
    <col min="9483" max="9483" width="14.28515625" style="396" customWidth="1"/>
    <col min="9484" max="9485" width="9.140625" style="396"/>
    <col min="9486" max="9486" width="19.140625" style="396" customWidth="1"/>
    <col min="9487" max="9487" width="18.5703125" style="396" customWidth="1"/>
    <col min="9488" max="9488" width="14.7109375" style="396" customWidth="1"/>
    <col min="9489" max="9729" width="9.140625" style="396"/>
    <col min="9730" max="9730" width="14.42578125" style="396" customWidth="1"/>
    <col min="9731" max="9731" width="11.7109375" style="396" customWidth="1"/>
    <col min="9732" max="9732" width="12" style="396" customWidth="1"/>
    <col min="9733" max="9733" width="49.5703125" style="396" customWidth="1"/>
    <col min="9734" max="9734" width="44" style="396" customWidth="1"/>
    <col min="9735" max="9735" width="14.85546875" style="396" customWidth="1"/>
    <col min="9736" max="9737" width="18.7109375" style="396" customWidth="1"/>
    <col min="9738" max="9738" width="19.7109375" style="396" customWidth="1"/>
    <col min="9739" max="9739" width="14.28515625" style="396" customWidth="1"/>
    <col min="9740" max="9741" width="9.140625" style="396"/>
    <col min="9742" max="9742" width="19.140625" style="396" customWidth="1"/>
    <col min="9743" max="9743" width="18.5703125" style="396" customWidth="1"/>
    <col min="9744" max="9744" width="14.7109375" style="396" customWidth="1"/>
    <col min="9745" max="9985" width="9.140625" style="396"/>
    <col min="9986" max="9986" width="14.42578125" style="396" customWidth="1"/>
    <col min="9987" max="9987" width="11.7109375" style="396" customWidth="1"/>
    <col min="9988" max="9988" width="12" style="396" customWidth="1"/>
    <col min="9989" max="9989" width="49.5703125" style="396" customWidth="1"/>
    <col min="9990" max="9990" width="44" style="396" customWidth="1"/>
    <col min="9991" max="9991" width="14.85546875" style="396" customWidth="1"/>
    <col min="9992" max="9993" width="18.7109375" style="396" customWidth="1"/>
    <col min="9994" max="9994" width="19.7109375" style="396" customWidth="1"/>
    <col min="9995" max="9995" width="14.28515625" style="396" customWidth="1"/>
    <col min="9996" max="9997" width="9.140625" style="396"/>
    <col min="9998" max="9998" width="19.140625" style="396" customWidth="1"/>
    <col min="9999" max="9999" width="18.5703125" style="396" customWidth="1"/>
    <col min="10000" max="10000" width="14.7109375" style="396" customWidth="1"/>
    <col min="10001" max="10241" width="9.140625" style="396"/>
    <col min="10242" max="10242" width="14.42578125" style="396" customWidth="1"/>
    <col min="10243" max="10243" width="11.7109375" style="396" customWidth="1"/>
    <col min="10244" max="10244" width="12" style="396" customWidth="1"/>
    <col min="10245" max="10245" width="49.5703125" style="396" customWidth="1"/>
    <col min="10246" max="10246" width="44" style="396" customWidth="1"/>
    <col min="10247" max="10247" width="14.85546875" style="396" customWidth="1"/>
    <col min="10248" max="10249" width="18.7109375" style="396" customWidth="1"/>
    <col min="10250" max="10250" width="19.7109375" style="396" customWidth="1"/>
    <col min="10251" max="10251" width="14.28515625" style="396" customWidth="1"/>
    <col min="10252" max="10253" width="9.140625" style="396"/>
    <col min="10254" max="10254" width="19.140625" style="396" customWidth="1"/>
    <col min="10255" max="10255" width="18.5703125" style="396" customWidth="1"/>
    <col min="10256" max="10256" width="14.7109375" style="396" customWidth="1"/>
    <col min="10257" max="10497" width="9.140625" style="396"/>
    <col min="10498" max="10498" width="14.42578125" style="396" customWidth="1"/>
    <col min="10499" max="10499" width="11.7109375" style="396" customWidth="1"/>
    <col min="10500" max="10500" width="12" style="396" customWidth="1"/>
    <col min="10501" max="10501" width="49.5703125" style="396" customWidth="1"/>
    <col min="10502" max="10502" width="44" style="396" customWidth="1"/>
    <col min="10503" max="10503" width="14.85546875" style="396" customWidth="1"/>
    <col min="10504" max="10505" width="18.7109375" style="396" customWidth="1"/>
    <col min="10506" max="10506" width="19.7109375" style="396" customWidth="1"/>
    <col min="10507" max="10507" width="14.28515625" style="396" customWidth="1"/>
    <col min="10508" max="10509" width="9.140625" style="396"/>
    <col min="10510" max="10510" width="19.140625" style="396" customWidth="1"/>
    <col min="10511" max="10511" width="18.5703125" style="396" customWidth="1"/>
    <col min="10512" max="10512" width="14.7109375" style="396" customWidth="1"/>
    <col min="10513" max="10753" width="9.140625" style="396"/>
    <col min="10754" max="10754" width="14.42578125" style="396" customWidth="1"/>
    <col min="10755" max="10755" width="11.7109375" style="396" customWidth="1"/>
    <col min="10756" max="10756" width="12" style="396" customWidth="1"/>
    <col min="10757" max="10757" width="49.5703125" style="396" customWidth="1"/>
    <col min="10758" max="10758" width="44" style="396" customWidth="1"/>
    <col min="10759" max="10759" width="14.85546875" style="396" customWidth="1"/>
    <col min="10760" max="10761" width="18.7109375" style="396" customWidth="1"/>
    <col min="10762" max="10762" width="19.7109375" style="396" customWidth="1"/>
    <col min="10763" max="10763" width="14.28515625" style="396" customWidth="1"/>
    <col min="10764" max="10765" width="9.140625" style="396"/>
    <col min="10766" max="10766" width="19.140625" style="396" customWidth="1"/>
    <col min="10767" max="10767" width="18.5703125" style="396" customWidth="1"/>
    <col min="10768" max="10768" width="14.7109375" style="396" customWidth="1"/>
    <col min="10769" max="11009" width="9.140625" style="396"/>
    <col min="11010" max="11010" width="14.42578125" style="396" customWidth="1"/>
    <col min="11011" max="11011" width="11.7109375" style="396" customWidth="1"/>
    <col min="11012" max="11012" width="12" style="396" customWidth="1"/>
    <col min="11013" max="11013" width="49.5703125" style="396" customWidth="1"/>
    <col min="11014" max="11014" width="44" style="396" customWidth="1"/>
    <col min="11015" max="11015" width="14.85546875" style="396" customWidth="1"/>
    <col min="11016" max="11017" width="18.7109375" style="396" customWidth="1"/>
    <col min="11018" max="11018" width="19.7109375" style="396" customWidth="1"/>
    <col min="11019" max="11019" width="14.28515625" style="396" customWidth="1"/>
    <col min="11020" max="11021" width="9.140625" style="396"/>
    <col min="11022" max="11022" width="19.140625" style="396" customWidth="1"/>
    <col min="11023" max="11023" width="18.5703125" style="396" customWidth="1"/>
    <col min="11024" max="11024" width="14.7109375" style="396" customWidth="1"/>
    <col min="11025" max="11265" width="9.140625" style="396"/>
    <col min="11266" max="11266" width="14.42578125" style="396" customWidth="1"/>
    <col min="11267" max="11267" width="11.7109375" style="396" customWidth="1"/>
    <col min="11268" max="11268" width="12" style="396" customWidth="1"/>
    <col min="11269" max="11269" width="49.5703125" style="396" customWidth="1"/>
    <col min="11270" max="11270" width="44" style="396" customWidth="1"/>
    <col min="11271" max="11271" width="14.85546875" style="396" customWidth="1"/>
    <col min="11272" max="11273" width="18.7109375" style="396" customWidth="1"/>
    <col min="11274" max="11274" width="19.7109375" style="396" customWidth="1"/>
    <col min="11275" max="11275" width="14.28515625" style="396" customWidth="1"/>
    <col min="11276" max="11277" width="9.140625" style="396"/>
    <col min="11278" max="11278" width="19.140625" style="396" customWidth="1"/>
    <col min="11279" max="11279" width="18.5703125" style="396" customWidth="1"/>
    <col min="11280" max="11280" width="14.7109375" style="396" customWidth="1"/>
    <col min="11281" max="11521" width="9.140625" style="396"/>
    <col min="11522" max="11522" width="14.42578125" style="396" customWidth="1"/>
    <col min="11523" max="11523" width="11.7109375" style="396" customWidth="1"/>
    <col min="11524" max="11524" width="12" style="396" customWidth="1"/>
    <col min="11525" max="11525" width="49.5703125" style="396" customWidth="1"/>
    <col min="11526" max="11526" width="44" style="396" customWidth="1"/>
    <col min="11527" max="11527" width="14.85546875" style="396" customWidth="1"/>
    <col min="11528" max="11529" width="18.7109375" style="396" customWidth="1"/>
    <col min="11530" max="11530" width="19.7109375" style="396" customWidth="1"/>
    <col min="11531" max="11531" width="14.28515625" style="396" customWidth="1"/>
    <col min="11532" max="11533" width="9.140625" style="396"/>
    <col min="11534" max="11534" width="19.140625" style="396" customWidth="1"/>
    <col min="11535" max="11535" width="18.5703125" style="396" customWidth="1"/>
    <col min="11536" max="11536" width="14.7109375" style="396" customWidth="1"/>
    <col min="11537" max="11777" width="9.140625" style="396"/>
    <col min="11778" max="11778" width="14.42578125" style="396" customWidth="1"/>
    <col min="11779" max="11779" width="11.7109375" style="396" customWidth="1"/>
    <col min="11780" max="11780" width="12" style="396" customWidth="1"/>
    <col min="11781" max="11781" width="49.5703125" style="396" customWidth="1"/>
    <col min="11782" max="11782" width="44" style="396" customWidth="1"/>
    <col min="11783" max="11783" width="14.85546875" style="396" customWidth="1"/>
    <col min="11784" max="11785" width="18.7109375" style="396" customWidth="1"/>
    <col min="11786" max="11786" width="19.7109375" style="396" customWidth="1"/>
    <col min="11787" max="11787" width="14.28515625" style="396" customWidth="1"/>
    <col min="11788" max="11789" width="9.140625" style="396"/>
    <col min="11790" max="11790" width="19.140625" style="396" customWidth="1"/>
    <col min="11791" max="11791" width="18.5703125" style="396" customWidth="1"/>
    <col min="11792" max="11792" width="14.7109375" style="396" customWidth="1"/>
    <col min="11793" max="12033" width="9.140625" style="396"/>
    <col min="12034" max="12034" width="14.42578125" style="396" customWidth="1"/>
    <col min="12035" max="12035" width="11.7109375" style="396" customWidth="1"/>
    <col min="12036" max="12036" width="12" style="396" customWidth="1"/>
    <col min="12037" max="12037" width="49.5703125" style="396" customWidth="1"/>
    <col min="12038" max="12038" width="44" style="396" customWidth="1"/>
    <col min="12039" max="12039" width="14.85546875" style="396" customWidth="1"/>
    <col min="12040" max="12041" width="18.7109375" style="396" customWidth="1"/>
    <col min="12042" max="12042" width="19.7109375" style="396" customWidth="1"/>
    <col min="12043" max="12043" width="14.28515625" style="396" customWidth="1"/>
    <col min="12044" max="12045" width="9.140625" style="396"/>
    <col min="12046" max="12046" width="19.140625" style="396" customWidth="1"/>
    <col min="12047" max="12047" width="18.5703125" style="396" customWidth="1"/>
    <col min="12048" max="12048" width="14.7109375" style="396" customWidth="1"/>
    <col min="12049" max="12289" width="9.140625" style="396"/>
    <col min="12290" max="12290" width="14.42578125" style="396" customWidth="1"/>
    <col min="12291" max="12291" width="11.7109375" style="396" customWidth="1"/>
    <col min="12292" max="12292" width="12" style="396" customWidth="1"/>
    <col min="12293" max="12293" width="49.5703125" style="396" customWidth="1"/>
    <col min="12294" max="12294" width="44" style="396" customWidth="1"/>
    <col min="12295" max="12295" width="14.85546875" style="396" customWidth="1"/>
    <col min="12296" max="12297" width="18.7109375" style="396" customWidth="1"/>
    <col min="12298" max="12298" width="19.7109375" style="396" customWidth="1"/>
    <col min="12299" max="12299" width="14.28515625" style="396" customWidth="1"/>
    <col min="12300" max="12301" width="9.140625" style="396"/>
    <col min="12302" max="12302" width="19.140625" style="396" customWidth="1"/>
    <col min="12303" max="12303" width="18.5703125" style="396" customWidth="1"/>
    <col min="12304" max="12304" width="14.7109375" style="396" customWidth="1"/>
    <col min="12305" max="12545" width="9.140625" style="396"/>
    <col min="12546" max="12546" width="14.42578125" style="396" customWidth="1"/>
    <col min="12547" max="12547" width="11.7109375" style="396" customWidth="1"/>
    <col min="12548" max="12548" width="12" style="396" customWidth="1"/>
    <col min="12549" max="12549" width="49.5703125" style="396" customWidth="1"/>
    <col min="12550" max="12550" width="44" style="396" customWidth="1"/>
    <col min="12551" max="12551" width="14.85546875" style="396" customWidth="1"/>
    <col min="12552" max="12553" width="18.7109375" style="396" customWidth="1"/>
    <col min="12554" max="12554" width="19.7109375" style="396" customWidth="1"/>
    <col min="12555" max="12555" width="14.28515625" style="396" customWidth="1"/>
    <col min="12556" max="12557" width="9.140625" style="396"/>
    <col min="12558" max="12558" width="19.140625" style="396" customWidth="1"/>
    <col min="12559" max="12559" width="18.5703125" style="396" customWidth="1"/>
    <col min="12560" max="12560" width="14.7109375" style="396" customWidth="1"/>
    <col min="12561" max="12801" width="9.140625" style="396"/>
    <col min="12802" max="12802" width="14.42578125" style="396" customWidth="1"/>
    <col min="12803" max="12803" width="11.7109375" style="396" customWidth="1"/>
    <col min="12804" max="12804" width="12" style="396" customWidth="1"/>
    <col min="12805" max="12805" width="49.5703125" style="396" customWidth="1"/>
    <col min="12806" max="12806" width="44" style="396" customWidth="1"/>
    <col min="12807" max="12807" width="14.85546875" style="396" customWidth="1"/>
    <col min="12808" max="12809" width="18.7109375" style="396" customWidth="1"/>
    <col min="12810" max="12810" width="19.7109375" style="396" customWidth="1"/>
    <col min="12811" max="12811" width="14.28515625" style="396" customWidth="1"/>
    <col min="12812" max="12813" width="9.140625" style="396"/>
    <col min="12814" max="12814" width="19.140625" style="396" customWidth="1"/>
    <col min="12815" max="12815" width="18.5703125" style="396" customWidth="1"/>
    <col min="12816" max="12816" width="14.7109375" style="396" customWidth="1"/>
    <col min="12817" max="13057" width="9.140625" style="396"/>
    <col min="13058" max="13058" width="14.42578125" style="396" customWidth="1"/>
    <col min="13059" max="13059" width="11.7109375" style="396" customWidth="1"/>
    <col min="13060" max="13060" width="12" style="396" customWidth="1"/>
    <col min="13061" max="13061" width="49.5703125" style="396" customWidth="1"/>
    <col min="13062" max="13062" width="44" style="396" customWidth="1"/>
    <col min="13063" max="13063" width="14.85546875" style="396" customWidth="1"/>
    <col min="13064" max="13065" width="18.7109375" style="396" customWidth="1"/>
    <col min="13066" max="13066" width="19.7109375" style="396" customWidth="1"/>
    <col min="13067" max="13067" width="14.28515625" style="396" customWidth="1"/>
    <col min="13068" max="13069" width="9.140625" style="396"/>
    <col min="13070" max="13070" width="19.140625" style="396" customWidth="1"/>
    <col min="13071" max="13071" width="18.5703125" style="396" customWidth="1"/>
    <col min="13072" max="13072" width="14.7109375" style="396" customWidth="1"/>
    <col min="13073" max="13313" width="9.140625" style="396"/>
    <col min="13314" max="13314" width="14.42578125" style="396" customWidth="1"/>
    <col min="13315" max="13315" width="11.7109375" style="396" customWidth="1"/>
    <col min="13316" max="13316" width="12" style="396" customWidth="1"/>
    <col min="13317" max="13317" width="49.5703125" style="396" customWidth="1"/>
    <col min="13318" max="13318" width="44" style="396" customWidth="1"/>
    <col min="13319" max="13319" width="14.85546875" style="396" customWidth="1"/>
    <col min="13320" max="13321" width="18.7109375" style="396" customWidth="1"/>
    <col min="13322" max="13322" width="19.7109375" style="396" customWidth="1"/>
    <col min="13323" max="13323" width="14.28515625" style="396" customWidth="1"/>
    <col min="13324" max="13325" width="9.140625" style="396"/>
    <col min="13326" max="13326" width="19.140625" style="396" customWidth="1"/>
    <col min="13327" max="13327" width="18.5703125" style="396" customWidth="1"/>
    <col min="13328" max="13328" width="14.7109375" style="396" customWidth="1"/>
    <col min="13329" max="13569" width="9.140625" style="396"/>
    <col min="13570" max="13570" width="14.42578125" style="396" customWidth="1"/>
    <col min="13571" max="13571" width="11.7109375" style="396" customWidth="1"/>
    <col min="13572" max="13572" width="12" style="396" customWidth="1"/>
    <col min="13573" max="13573" width="49.5703125" style="396" customWidth="1"/>
    <col min="13574" max="13574" width="44" style="396" customWidth="1"/>
    <col min="13575" max="13575" width="14.85546875" style="396" customWidth="1"/>
    <col min="13576" max="13577" width="18.7109375" style="396" customWidth="1"/>
    <col min="13578" max="13578" width="19.7109375" style="396" customWidth="1"/>
    <col min="13579" max="13579" width="14.28515625" style="396" customWidth="1"/>
    <col min="13580" max="13581" width="9.140625" style="396"/>
    <col min="13582" max="13582" width="19.140625" style="396" customWidth="1"/>
    <col min="13583" max="13583" width="18.5703125" style="396" customWidth="1"/>
    <col min="13584" max="13584" width="14.7109375" style="396" customWidth="1"/>
    <col min="13585" max="13825" width="9.140625" style="396"/>
    <col min="13826" max="13826" width="14.42578125" style="396" customWidth="1"/>
    <col min="13827" max="13827" width="11.7109375" style="396" customWidth="1"/>
    <col min="13828" max="13828" width="12" style="396" customWidth="1"/>
    <col min="13829" max="13829" width="49.5703125" style="396" customWidth="1"/>
    <col min="13830" max="13830" width="44" style="396" customWidth="1"/>
    <col min="13831" max="13831" width="14.85546875" style="396" customWidth="1"/>
    <col min="13832" max="13833" width="18.7109375" style="396" customWidth="1"/>
    <col min="13834" max="13834" width="19.7109375" style="396" customWidth="1"/>
    <col min="13835" max="13835" width="14.28515625" style="396" customWidth="1"/>
    <col min="13836" max="13837" width="9.140625" style="396"/>
    <col min="13838" max="13838" width="19.140625" style="396" customWidth="1"/>
    <col min="13839" max="13839" width="18.5703125" style="396" customWidth="1"/>
    <col min="13840" max="13840" width="14.7109375" style="396" customWidth="1"/>
    <col min="13841" max="14081" width="9.140625" style="396"/>
    <col min="14082" max="14082" width="14.42578125" style="396" customWidth="1"/>
    <col min="14083" max="14083" width="11.7109375" style="396" customWidth="1"/>
    <col min="14084" max="14084" width="12" style="396" customWidth="1"/>
    <col min="14085" max="14085" width="49.5703125" style="396" customWidth="1"/>
    <col min="14086" max="14086" width="44" style="396" customWidth="1"/>
    <col min="14087" max="14087" width="14.85546875" style="396" customWidth="1"/>
    <col min="14088" max="14089" width="18.7109375" style="396" customWidth="1"/>
    <col min="14090" max="14090" width="19.7109375" style="396" customWidth="1"/>
    <col min="14091" max="14091" width="14.28515625" style="396" customWidth="1"/>
    <col min="14092" max="14093" width="9.140625" style="396"/>
    <col min="14094" max="14094" width="19.140625" style="396" customWidth="1"/>
    <col min="14095" max="14095" width="18.5703125" style="396" customWidth="1"/>
    <col min="14096" max="14096" width="14.7109375" style="396" customWidth="1"/>
    <col min="14097" max="14337" width="9.140625" style="396"/>
    <col min="14338" max="14338" width="14.42578125" style="396" customWidth="1"/>
    <col min="14339" max="14339" width="11.7109375" style="396" customWidth="1"/>
    <col min="14340" max="14340" width="12" style="396" customWidth="1"/>
    <col min="14341" max="14341" width="49.5703125" style="396" customWidth="1"/>
    <col min="14342" max="14342" width="44" style="396" customWidth="1"/>
    <col min="14343" max="14343" width="14.85546875" style="396" customWidth="1"/>
    <col min="14344" max="14345" width="18.7109375" style="396" customWidth="1"/>
    <col min="14346" max="14346" width="19.7109375" style="396" customWidth="1"/>
    <col min="14347" max="14347" width="14.28515625" style="396" customWidth="1"/>
    <col min="14348" max="14349" width="9.140625" style="396"/>
    <col min="14350" max="14350" width="19.140625" style="396" customWidth="1"/>
    <col min="14351" max="14351" width="18.5703125" style="396" customWidth="1"/>
    <col min="14352" max="14352" width="14.7109375" style="396" customWidth="1"/>
    <col min="14353" max="14593" width="9.140625" style="396"/>
    <col min="14594" max="14594" width="14.42578125" style="396" customWidth="1"/>
    <col min="14595" max="14595" width="11.7109375" style="396" customWidth="1"/>
    <col min="14596" max="14596" width="12" style="396" customWidth="1"/>
    <col min="14597" max="14597" width="49.5703125" style="396" customWidth="1"/>
    <col min="14598" max="14598" width="44" style="396" customWidth="1"/>
    <col min="14599" max="14599" width="14.85546875" style="396" customWidth="1"/>
    <col min="14600" max="14601" width="18.7109375" style="396" customWidth="1"/>
    <col min="14602" max="14602" width="19.7109375" style="396" customWidth="1"/>
    <col min="14603" max="14603" width="14.28515625" style="396" customWidth="1"/>
    <col min="14604" max="14605" width="9.140625" style="396"/>
    <col min="14606" max="14606" width="19.140625" style="396" customWidth="1"/>
    <col min="14607" max="14607" width="18.5703125" style="396" customWidth="1"/>
    <col min="14608" max="14608" width="14.7109375" style="396" customWidth="1"/>
    <col min="14609" max="14849" width="9.140625" style="396"/>
    <col min="14850" max="14850" width="14.42578125" style="396" customWidth="1"/>
    <col min="14851" max="14851" width="11.7109375" style="396" customWidth="1"/>
    <col min="14852" max="14852" width="12" style="396" customWidth="1"/>
    <col min="14853" max="14853" width="49.5703125" style="396" customWidth="1"/>
    <col min="14854" max="14854" width="44" style="396" customWidth="1"/>
    <col min="14855" max="14855" width="14.85546875" style="396" customWidth="1"/>
    <col min="14856" max="14857" width="18.7109375" style="396" customWidth="1"/>
    <col min="14858" max="14858" width="19.7109375" style="396" customWidth="1"/>
    <col min="14859" max="14859" width="14.28515625" style="396" customWidth="1"/>
    <col min="14860" max="14861" width="9.140625" style="396"/>
    <col min="14862" max="14862" width="19.140625" style="396" customWidth="1"/>
    <col min="14863" max="14863" width="18.5703125" style="396" customWidth="1"/>
    <col min="14864" max="14864" width="14.7109375" style="396" customWidth="1"/>
    <col min="14865" max="15105" width="9.140625" style="396"/>
    <col min="15106" max="15106" width="14.42578125" style="396" customWidth="1"/>
    <col min="15107" max="15107" width="11.7109375" style="396" customWidth="1"/>
    <col min="15108" max="15108" width="12" style="396" customWidth="1"/>
    <col min="15109" max="15109" width="49.5703125" style="396" customWidth="1"/>
    <col min="15110" max="15110" width="44" style="396" customWidth="1"/>
    <col min="15111" max="15111" width="14.85546875" style="396" customWidth="1"/>
    <col min="15112" max="15113" width="18.7109375" style="396" customWidth="1"/>
    <col min="15114" max="15114" width="19.7109375" style="396" customWidth="1"/>
    <col min="15115" max="15115" width="14.28515625" style="396" customWidth="1"/>
    <col min="15116" max="15117" width="9.140625" style="396"/>
    <col min="15118" max="15118" width="19.140625" style="396" customWidth="1"/>
    <col min="15119" max="15119" width="18.5703125" style="396" customWidth="1"/>
    <col min="15120" max="15120" width="14.7109375" style="396" customWidth="1"/>
    <col min="15121" max="15361" width="9.140625" style="396"/>
    <col min="15362" max="15362" width="14.42578125" style="396" customWidth="1"/>
    <col min="15363" max="15363" width="11.7109375" style="396" customWidth="1"/>
    <col min="15364" max="15364" width="12" style="396" customWidth="1"/>
    <col min="15365" max="15365" width="49.5703125" style="396" customWidth="1"/>
    <col min="15366" max="15366" width="44" style="396" customWidth="1"/>
    <col min="15367" max="15367" width="14.85546875" style="396" customWidth="1"/>
    <col min="15368" max="15369" width="18.7109375" style="396" customWidth="1"/>
    <col min="15370" max="15370" width="19.7109375" style="396" customWidth="1"/>
    <col min="15371" max="15371" width="14.28515625" style="396" customWidth="1"/>
    <col min="15372" max="15373" width="9.140625" style="396"/>
    <col min="15374" max="15374" width="19.140625" style="396" customWidth="1"/>
    <col min="15375" max="15375" width="18.5703125" style="396" customWidth="1"/>
    <col min="15376" max="15376" width="14.7109375" style="396" customWidth="1"/>
    <col min="15377" max="15617" width="9.140625" style="396"/>
    <col min="15618" max="15618" width="14.42578125" style="396" customWidth="1"/>
    <col min="15619" max="15619" width="11.7109375" style="396" customWidth="1"/>
    <col min="15620" max="15620" width="12" style="396" customWidth="1"/>
    <col min="15621" max="15621" width="49.5703125" style="396" customWidth="1"/>
    <col min="15622" max="15622" width="44" style="396" customWidth="1"/>
    <col min="15623" max="15623" width="14.85546875" style="396" customWidth="1"/>
    <col min="15624" max="15625" width="18.7109375" style="396" customWidth="1"/>
    <col min="15626" max="15626" width="19.7109375" style="396" customWidth="1"/>
    <col min="15627" max="15627" width="14.28515625" style="396" customWidth="1"/>
    <col min="15628" max="15629" width="9.140625" style="396"/>
    <col min="15630" max="15630" width="19.140625" style="396" customWidth="1"/>
    <col min="15631" max="15631" width="18.5703125" style="396" customWidth="1"/>
    <col min="15632" max="15632" width="14.7109375" style="396" customWidth="1"/>
    <col min="15633" max="15873" width="9.140625" style="396"/>
    <col min="15874" max="15874" width="14.42578125" style="396" customWidth="1"/>
    <col min="15875" max="15875" width="11.7109375" style="396" customWidth="1"/>
    <col min="15876" max="15876" width="12" style="396" customWidth="1"/>
    <col min="15877" max="15877" width="49.5703125" style="396" customWidth="1"/>
    <col min="15878" max="15878" width="44" style="396" customWidth="1"/>
    <col min="15879" max="15879" width="14.85546875" style="396" customWidth="1"/>
    <col min="15880" max="15881" width="18.7109375" style="396" customWidth="1"/>
    <col min="15882" max="15882" width="19.7109375" style="396" customWidth="1"/>
    <col min="15883" max="15883" width="14.28515625" style="396" customWidth="1"/>
    <col min="15884" max="15885" width="9.140625" style="396"/>
    <col min="15886" max="15886" width="19.140625" style="396" customWidth="1"/>
    <col min="15887" max="15887" width="18.5703125" style="396" customWidth="1"/>
    <col min="15888" max="15888" width="14.7109375" style="396" customWidth="1"/>
    <col min="15889" max="16129" width="9.140625" style="396"/>
    <col min="16130" max="16130" width="14.42578125" style="396" customWidth="1"/>
    <col min="16131" max="16131" width="11.7109375" style="396" customWidth="1"/>
    <col min="16132" max="16132" width="12" style="396" customWidth="1"/>
    <col min="16133" max="16133" width="49.5703125" style="396" customWidth="1"/>
    <col min="16134" max="16134" width="44" style="396" customWidth="1"/>
    <col min="16135" max="16135" width="14.85546875" style="396" customWidth="1"/>
    <col min="16136" max="16137" width="18.7109375" style="396" customWidth="1"/>
    <col min="16138" max="16138" width="19.7109375" style="396" customWidth="1"/>
    <col min="16139" max="16139" width="14.28515625" style="396" customWidth="1"/>
    <col min="16140" max="16141" width="9.140625" style="396"/>
    <col min="16142" max="16142" width="19.140625" style="396" customWidth="1"/>
    <col min="16143" max="16143" width="18.5703125" style="396" customWidth="1"/>
    <col min="16144" max="16144" width="14.7109375" style="396" customWidth="1"/>
    <col min="16145" max="16384" width="9.140625" style="396"/>
  </cols>
  <sheetData>
    <row r="1" spans="2:12" ht="57.75" customHeight="1" x14ac:dyDescent="0.2">
      <c r="B1" s="460"/>
      <c r="C1" s="545"/>
      <c r="D1" s="545"/>
      <c r="E1" s="545"/>
      <c r="F1" s="545"/>
      <c r="G1" s="627" t="s">
        <v>820</v>
      </c>
      <c r="H1" s="627"/>
      <c r="I1" s="627"/>
      <c r="J1" s="627"/>
      <c r="K1" s="627"/>
      <c r="L1" s="627"/>
    </row>
    <row r="2" spans="2:12" ht="15.75" x14ac:dyDescent="0.2">
      <c r="B2" s="460"/>
      <c r="C2" s="545"/>
      <c r="D2" s="545"/>
      <c r="E2" s="545"/>
      <c r="F2" s="545"/>
      <c r="G2" s="627"/>
      <c r="H2" s="627"/>
      <c r="I2" s="627"/>
      <c r="J2" s="627"/>
      <c r="K2" s="627"/>
      <c r="L2" s="627"/>
    </row>
    <row r="3" spans="2:12" ht="15.75" x14ac:dyDescent="0.2">
      <c r="B3" s="460"/>
      <c r="C3" s="545"/>
      <c r="D3" s="545"/>
      <c r="E3" s="545"/>
      <c r="F3" s="545"/>
      <c r="G3" s="627"/>
      <c r="H3" s="627"/>
      <c r="I3" s="627"/>
      <c r="J3" s="627"/>
      <c r="K3" s="627"/>
      <c r="L3" s="627"/>
    </row>
    <row r="4" spans="2:12" ht="15.75" x14ac:dyDescent="0.2">
      <c r="B4" s="460"/>
      <c r="C4" s="545"/>
      <c r="D4" s="545"/>
      <c r="E4" s="545"/>
      <c r="F4" s="545"/>
      <c r="G4" s="545"/>
      <c r="H4" s="684" t="s">
        <v>815</v>
      </c>
      <c r="I4" s="684"/>
      <c r="J4" s="684"/>
      <c r="K4" s="684"/>
      <c r="L4" s="684"/>
    </row>
    <row r="5" spans="2:12" ht="15.75" x14ac:dyDescent="0.2">
      <c r="B5" s="463"/>
      <c r="C5" s="545"/>
      <c r="D5" s="545"/>
      <c r="E5" s="545"/>
      <c r="F5" s="545"/>
      <c r="G5" s="545"/>
      <c r="H5" s="545"/>
      <c r="I5" s="545"/>
      <c r="J5" s="545"/>
      <c r="K5" s="545"/>
    </row>
    <row r="6" spans="2:12" ht="15.75" x14ac:dyDescent="0.2">
      <c r="B6" s="628" t="s">
        <v>800</v>
      </c>
      <c r="C6" s="628"/>
      <c r="D6" s="628"/>
      <c r="E6" s="628"/>
      <c r="F6" s="628"/>
      <c r="G6" s="628"/>
      <c r="H6" s="628"/>
      <c r="I6" s="628"/>
      <c r="J6" s="628"/>
      <c r="K6" s="628"/>
    </row>
    <row r="7" spans="2:12" ht="15.75" x14ac:dyDescent="0.2">
      <c r="B7" s="628" t="s">
        <v>732</v>
      </c>
      <c r="C7" s="628"/>
      <c r="D7" s="628"/>
      <c r="E7" s="628"/>
      <c r="F7" s="628"/>
      <c r="G7" s="628"/>
      <c r="H7" s="628"/>
      <c r="I7" s="628"/>
      <c r="J7" s="628"/>
      <c r="K7" s="628"/>
    </row>
    <row r="8" spans="2:12" ht="15.75" x14ac:dyDescent="0.2">
      <c r="B8" s="628" t="s">
        <v>733</v>
      </c>
      <c r="C8" s="628"/>
      <c r="D8" s="628"/>
      <c r="E8" s="628"/>
      <c r="F8" s="628"/>
      <c r="G8" s="628"/>
      <c r="H8" s="628"/>
      <c r="I8" s="628"/>
      <c r="J8" s="628"/>
      <c r="K8" s="628"/>
    </row>
    <row r="9" spans="2:12" ht="47.25" customHeight="1" x14ac:dyDescent="0.2">
      <c r="B9" s="464">
        <v>7507000000</v>
      </c>
      <c r="C9" s="545"/>
      <c r="D9" s="545"/>
      <c r="E9" s="683" t="s">
        <v>801</v>
      </c>
      <c r="F9" s="683"/>
      <c r="G9" s="683"/>
      <c r="H9" s="683"/>
      <c r="I9" s="545"/>
      <c r="J9" s="545"/>
      <c r="K9" s="545"/>
    </row>
    <row r="10" spans="2:12" x14ac:dyDescent="0.2">
      <c r="B10" s="465" t="s">
        <v>4</v>
      </c>
      <c r="C10" s="545"/>
      <c r="D10" s="545"/>
      <c r="E10" s="545"/>
      <c r="F10" s="545"/>
      <c r="G10" s="545"/>
      <c r="H10" s="545"/>
      <c r="I10" s="545"/>
      <c r="J10" s="545"/>
      <c r="K10" s="545"/>
    </row>
    <row r="11" spans="2:12" ht="15.75" x14ac:dyDescent="0.2">
      <c r="B11" s="466"/>
      <c r="C11" s="545"/>
      <c r="D11" s="545"/>
      <c r="E11" s="545"/>
      <c r="F11" s="545"/>
      <c r="G11" s="545"/>
      <c r="H11" s="545"/>
      <c r="I11" s="545"/>
      <c r="J11" s="545"/>
      <c r="K11" s="545"/>
    </row>
    <row r="12" spans="2:12" ht="15.75" x14ac:dyDescent="0.2">
      <c r="B12" s="466"/>
      <c r="C12" s="545"/>
      <c r="D12" s="545"/>
      <c r="E12" s="545"/>
      <c r="F12" s="545"/>
      <c r="G12" s="545"/>
      <c r="H12" s="545"/>
      <c r="I12" s="545"/>
      <c r="J12" s="545"/>
      <c r="K12" s="545"/>
    </row>
    <row r="13" spans="2:12" ht="89.25" x14ac:dyDescent="0.2">
      <c r="B13" s="467" t="s">
        <v>642</v>
      </c>
      <c r="C13" s="467" t="s">
        <v>643</v>
      </c>
      <c r="D13" s="467" t="s">
        <v>503</v>
      </c>
      <c r="E13" s="467" t="s">
        <v>644</v>
      </c>
      <c r="F13" s="467" t="s">
        <v>734</v>
      </c>
      <c r="G13" s="467" t="s">
        <v>735</v>
      </c>
      <c r="H13" s="467" t="s">
        <v>736</v>
      </c>
      <c r="I13" s="467" t="s">
        <v>737</v>
      </c>
      <c r="J13" s="467" t="s">
        <v>738</v>
      </c>
      <c r="K13" s="467" t="s">
        <v>739</v>
      </c>
    </row>
    <row r="14" spans="2:12" x14ac:dyDescent="0.2">
      <c r="B14" s="467">
        <v>1</v>
      </c>
      <c r="C14" s="467">
        <v>2</v>
      </c>
      <c r="D14" s="467">
        <v>3</v>
      </c>
      <c r="E14" s="467">
        <v>4</v>
      </c>
      <c r="F14" s="467">
        <v>5</v>
      </c>
      <c r="G14" s="467">
        <v>6</v>
      </c>
      <c r="H14" s="467">
        <v>7</v>
      </c>
      <c r="I14" s="467">
        <v>8</v>
      </c>
      <c r="J14" s="467">
        <v>9</v>
      </c>
      <c r="K14" s="467">
        <v>10</v>
      </c>
    </row>
    <row r="15" spans="2:12" ht="53.25" customHeight="1" x14ac:dyDescent="0.2">
      <c r="B15" s="468" t="s">
        <v>337</v>
      </c>
      <c r="C15" s="468" t="s">
        <v>338</v>
      </c>
      <c r="D15" s="469"/>
      <c r="E15" s="470" t="s">
        <v>339</v>
      </c>
      <c r="F15" s="471"/>
      <c r="G15" s="471"/>
      <c r="H15" s="685">
        <f>SUM(H16)</f>
        <v>69011207</v>
      </c>
      <c r="I15" s="685">
        <f>SUM(I16)</f>
        <v>55769478.859999999</v>
      </c>
      <c r="J15" s="685">
        <f>SUM(J16)</f>
        <v>2323983</v>
      </c>
      <c r="K15" s="471"/>
    </row>
    <row r="16" spans="2:12" ht="53.25" customHeight="1" x14ac:dyDescent="0.2">
      <c r="B16" s="468" t="s">
        <v>340</v>
      </c>
      <c r="C16" s="468"/>
      <c r="D16" s="469"/>
      <c r="E16" s="470" t="s">
        <v>341</v>
      </c>
      <c r="F16" s="467"/>
      <c r="G16" s="467"/>
      <c r="H16" s="509">
        <f>SUM(H24+H17+H21)</f>
        <v>69011207</v>
      </c>
      <c r="I16" s="509">
        <f>SUM(I24+I17+I21)</f>
        <v>55769478.859999999</v>
      </c>
      <c r="J16" s="509">
        <f>SUM(J24+J17+J21)</f>
        <v>2323983</v>
      </c>
      <c r="K16" s="467"/>
    </row>
    <row r="17" spans="2:16" ht="25.5" x14ac:dyDescent="0.2">
      <c r="B17" s="474" t="s">
        <v>369</v>
      </c>
      <c r="C17" s="475" t="s">
        <v>370</v>
      </c>
      <c r="D17" s="475" t="s">
        <v>371</v>
      </c>
      <c r="E17" s="476" t="s">
        <v>740</v>
      </c>
      <c r="F17" s="477"/>
      <c r="G17" s="478"/>
      <c r="H17" s="509">
        <f>SUM(H18:H20)</f>
        <v>25282973</v>
      </c>
      <c r="I17" s="509">
        <f>SUM(I18:I20)</f>
        <v>19140812.189999998</v>
      </c>
      <c r="J17" s="509">
        <f>SUM(J18:J20)</f>
        <v>1214350</v>
      </c>
      <c r="K17" s="473"/>
    </row>
    <row r="18" spans="2:16" ht="38.25" x14ac:dyDescent="0.2">
      <c r="B18" s="480" t="s">
        <v>369</v>
      </c>
      <c r="C18" s="481" t="s">
        <v>370</v>
      </c>
      <c r="D18" s="481" t="s">
        <v>371</v>
      </c>
      <c r="E18" s="482" t="s">
        <v>740</v>
      </c>
      <c r="F18" s="483" t="s">
        <v>741</v>
      </c>
      <c r="G18" s="481" t="s">
        <v>742</v>
      </c>
      <c r="H18" s="686">
        <v>12834748</v>
      </c>
      <c r="I18" s="687">
        <v>9321975.4199999999</v>
      </c>
      <c r="J18" s="686">
        <v>100000</v>
      </c>
      <c r="K18" s="486">
        <f>I18/H18*100</f>
        <v>72.630763143927723</v>
      </c>
    </row>
    <row r="19" spans="2:16" ht="25.5" x14ac:dyDescent="0.2">
      <c r="B19" s="480" t="s">
        <v>369</v>
      </c>
      <c r="C19" s="481" t="s">
        <v>370</v>
      </c>
      <c r="D19" s="481" t="s">
        <v>371</v>
      </c>
      <c r="E19" s="482" t="s">
        <v>740</v>
      </c>
      <c r="F19" s="493" t="s">
        <v>743</v>
      </c>
      <c r="G19" s="481" t="s">
        <v>744</v>
      </c>
      <c r="H19" s="686">
        <v>6426432</v>
      </c>
      <c r="I19" s="687">
        <v>4656054.84</v>
      </c>
      <c r="J19" s="686">
        <v>200000</v>
      </c>
      <c r="K19" s="486">
        <f>I19/H19*100</f>
        <v>72.451631636341901</v>
      </c>
    </row>
    <row r="20" spans="2:16" ht="38.25" x14ac:dyDescent="0.2">
      <c r="B20" s="480" t="s">
        <v>369</v>
      </c>
      <c r="C20" s="481" t="s">
        <v>370</v>
      </c>
      <c r="D20" s="481" t="s">
        <v>371</v>
      </c>
      <c r="E20" s="482" t="s">
        <v>740</v>
      </c>
      <c r="F20" s="546" t="s">
        <v>745</v>
      </c>
      <c r="G20" s="481" t="s">
        <v>746</v>
      </c>
      <c r="H20" s="686">
        <v>6021793</v>
      </c>
      <c r="I20" s="687">
        <v>5162781.93</v>
      </c>
      <c r="J20" s="686">
        <v>914350</v>
      </c>
      <c r="K20" s="486">
        <f>I20/H20*100</f>
        <v>85.734961829475026</v>
      </c>
    </row>
    <row r="21" spans="2:16" ht="25.5" x14ac:dyDescent="0.2">
      <c r="B21" s="474" t="s">
        <v>373</v>
      </c>
      <c r="C21" s="475" t="s">
        <v>374</v>
      </c>
      <c r="D21" s="475" t="s">
        <v>371</v>
      </c>
      <c r="E21" s="492" t="s">
        <v>740</v>
      </c>
      <c r="F21" s="467"/>
      <c r="G21" s="478"/>
      <c r="H21" s="509">
        <f>H22</f>
        <v>11055050</v>
      </c>
      <c r="I21" s="509">
        <f>I22</f>
        <v>10498140.949999999</v>
      </c>
      <c r="J21" s="509">
        <f>J22</f>
        <v>909633</v>
      </c>
      <c r="K21" s="473"/>
    </row>
    <row r="22" spans="2:16" ht="25.5" x14ac:dyDescent="0.2">
      <c r="B22" s="480" t="s">
        <v>373</v>
      </c>
      <c r="C22" s="481" t="s">
        <v>374</v>
      </c>
      <c r="D22" s="481" t="s">
        <v>371</v>
      </c>
      <c r="E22" s="482" t="s">
        <v>740</v>
      </c>
      <c r="F22" s="493" t="s">
        <v>747</v>
      </c>
      <c r="G22" s="481" t="s">
        <v>744</v>
      </c>
      <c r="H22" s="686">
        <f>11050050+5000</f>
        <v>11055050</v>
      </c>
      <c r="I22" s="688">
        <f>10888863.95-390723</f>
        <v>10498140.949999999</v>
      </c>
      <c r="J22" s="686">
        <f>1300356-390723</f>
        <v>909633</v>
      </c>
      <c r="K22" s="486">
        <f>I22/H22*100</f>
        <v>94.962401345991182</v>
      </c>
    </row>
    <row r="23" spans="2:16" ht="18.75" hidden="1" customHeight="1" x14ac:dyDescent="0.2">
      <c r="B23" s="480"/>
      <c r="C23" s="481"/>
      <c r="D23" s="481"/>
      <c r="E23" s="482"/>
      <c r="F23" s="547" t="s">
        <v>748</v>
      </c>
      <c r="G23" s="481"/>
      <c r="H23" s="686"/>
      <c r="I23" s="688"/>
      <c r="J23" s="686">
        <v>0</v>
      </c>
      <c r="K23" s="497"/>
    </row>
    <row r="24" spans="2:16" s="548" customFormat="1" ht="52.5" customHeight="1" x14ac:dyDescent="0.25">
      <c r="B24" s="498">
        <v>1217461</v>
      </c>
      <c r="C24" s="498">
        <v>7461</v>
      </c>
      <c r="D24" s="499" t="s">
        <v>381</v>
      </c>
      <c r="E24" s="500" t="s">
        <v>382</v>
      </c>
      <c r="F24" s="501"/>
      <c r="G24" s="501"/>
      <c r="H24" s="689">
        <f>SUM(H25)</f>
        <v>32673184</v>
      </c>
      <c r="I24" s="689">
        <f>SUM(I25)</f>
        <v>26130525.719999999</v>
      </c>
      <c r="J24" s="689">
        <f>SUM(J25)</f>
        <v>200000</v>
      </c>
      <c r="K24" s="478"/>
    </row>
    <row r="25" spans="2:16" ht="42.75" customHeight="1" x14ac:dyDescent="0.2">
      <c r="B25" s="505">
        <v>1217461</v>
      </c>
      <c r="C25" s="505">
        <v>7461</v>
      </c>
      <c r="D25" s="481" t="s">
        <v>381</v>
      </c>
      <c r="E25" s="506" t="s">
        <v>382</v>
      </c>
      <c r="F25" s="497" t="s">
        <v>749</v>
      </c>
      <c r="G25" s="497" t="s">
        <v>744</v>
      </c>
      <c r="H25" s="690">
        <v>32673184</v>
      </c>
      <c r="I25" s="688">
        <v>26130525.719999999</v>
      </c>
      <c r="J25" s="686">
        <v>200000</v>
      </c>
      <c r="K25" s="486">
        <f>I25/H25*100</f>
        <v>79.975449347085359</v>
      </c>
    </row>
    <row r="26" spans="2:16" ht="55.5" customHeight="1" x14ac:dyDescent="0.2">
      <c r="B26" s="468" t="s">
        <v>402</v>
      </c>
      <c r="C26" s="468" t="s">
        <v>403</v>
      </c>
      <c r="D26" s="469"/>
      <c r="E26" s="508" t="s">
        <v>404</v>
      </c>
      <c r="F26" s="467"/>
      <c r="G26" s="467"/>
      <c r="H26" s="691">
        <f>H27</f>
        <v>182188619</v>
      </c>
      <c r="I26" s="691">
        <f>I27</f>
        <v>29203814.530000001</v>
      </c>
      <c r="J26" s="691">
        <f>J27</f>
        <v>8177571.3799999999</v>
      </c>
      <c r="K26" s="467"/>
      <c r="N26" s="549"/>
      <c r="O26" s="549"/>
      <c r="P26" s="549"/>
    </row>
    <row r="27" spans="2:16" ht="56.25" customHeight="1" x14ac:dyDescent="0.2">
      <c r="B27" s="468" t="s">
        <v>405</v>
      </c>
      <c r="C27" s="468"/>
      <c r="D27" s="469"/>
      <c r="E27" s="508" t="s">
        <v>406</v>
      </c>
      <c r="F27" s="467"/>
      <c r="G27" s="467"/>
      <c r="H27" s="691">
        <f>H28+H31+H41+H44+H70+H73+H75</f>
        <v>182188619</v>
      </c>
      <c r="I27" s="691">
        <f>I28+I31+I41+I44+I70+I73+I75</f>
        <v>29203814.530000001</v>
      </c>
      <c r="J27" s="691">
        <f>J28+J31+J41+J44+J70+J73+J75</f>
        <v>8177571.3799999999</v>
      </c>
      <c r="K27" s="467"/>
      <c r="N27" s="549"/>
      <c r="O27" s="549"/>
      <c r="P27" s="549"/>
    </row>
    <row r="28" spans="2:16" ht="28.5" x14ac:dyDescent="0.2">
      <c r="B28" s="478">
        <v>1517310</v>
      </c>
      <c r="C28" s="512">
        <v>7310</v>
      </c>
      <c r="D28" s="512"/>
      <c r="E28" s="513" t="s">
        <v>750</v>
      </c>
      <c r="F28" s="514"/>
      <c r="G28" s="514"/>
      <c r="H28" s="692">
        <f>H30+H29</f>
        <v>3419601</v>
      </c>
      <c r="I28" s="692">
        <f>I30+I29</f>
        <v>833796</v>
      </c>
      <c r="J28" s="692">
        <f>J30+J29</f>
        <v>50000</v>
      </c>
      <c r="K28" s="514"/>
    </row>
    <row r="29" spans="2:16" ht="75" x14ac:dyDescent="0.2">
      <c r="B29" s="467">
        <v>1517310</v>
      </c>
      <c r="C29" s="514">
        <v>7310</v>
      </c>
      <c r="D29" s="522" t="s">
        <v>371</v>
      </c>
      <c r="E29" s="516" t="s">
        <v>750</v>
      </c>
      <c r="F29" s="516" t="s">
        <v>819</v>
      </c>
      <c r="G29" s="514" t="s">
        <v>746</v>
      </c>
      <c r="H29" s="693">
        <v>869601</v>
      </c>
      <c r="I29" s="693">
        <v>797106</v>
      </c>
      <c r="J29" s="693">
        <v>13310</v>
      </c>
      <c r="K29" s="514">
        <v>91.7</v>
      </c>
    </row>
    <row r="30" spans="2:16" ht="75" x14ac:dyDescent="0.2">
      <c r="B30" s="467">
        <v>1517310</v>
      </c>
      <c r="C30" s="514">
        <v>7310</v>
      </c>
      <c r="D30" s="514"/>
      <c r="E30" s="516" t="s">
        <v>750</v>
      </c>
      <c r="F30" s="516" t="s">
        <v>751</v>
      </c>
      <c r="G30" s="514">
        <v>2022</v>
      </c>
      <c r="H30" s="694">
        <v>2550000</v>
      </c>
      <c r="I30" s="529">
        <f>2500000-2450000-13310</f>
        <v>36690</v>
      </c>
      <c r="J30" s="694">
        <f>2500000-2450000-13310</f>
        <v>36690</v>
      </c>
      <c r="K30" s="486">
        <f>I30/H30*100</f>
        <v>1.4388235294117648</v>
      </c>
    </row>
    <row r="31" spans="2:16" ht="48.75" customHeight="1" x14ac:dyDescent="0.2">
      <c r="B31" s="478">
        <v>1517321</v>
      </c>
      <c r="C31" s="512">
        <v>7321</v>
      </c>
      <c r="D31" s="519" t="s">
        <v>371</v>
      </c>
      <c r="E31" s="513" t="s">
        <v>416</v>
      </c>
      <c r="F31" s="514"/>
      <c r="G31" s="514"/>
      <c r="H31" s="692">
        <f>SUM(H32:H40)-H33</f>
        <v>52410219</v>
      </c>
      <c r="I31" s="692">
        <f>SUM(I32:I40)-I33</f>
        <v>17353843.98</v>
      </c>
      <c r="J31" s="692">
        <f>SUM(J32:J40)-J33</f>
        <v>2902613.1799999997</v>
      </c>
      <c r="K31" s="514"/>
    </row>
    <row r="32" spans="2:16" ht="45" x14ac:dyDescent="0.2">
      <c r="B32" s="467">
        <v>1517321</v>
      </c>
      <c r="C32" s="514">
        <v>7321</v>
      </c>
      <c r="D32" s="522" t="s">
        <v>371</v>
      </c>
      <c r="E32" s="516" t="s">
        <v>416</v>
      </c>
      <c r="F32" s="516" t="s">
        <v>752</v>
      </c>
      <c r="G32" s="514" t="s">
        <v>746</v>
      </c>
      <c r="H32" s="694">
        <v>17538265</v>
      </c>
      <c r="I32" s="529">
        <f>16506624+305888-881236.82</f>
        <v>15931275.18</v>
      </c>
      <c r="J32" s="694">
        <f>2998682+305888-881236.82</f>
        <v>2423333.1800000002</v>
      </c>
      <c r="K32" s="486">
        <f>I32/H32*100</f>
        <v>90.837236066395391</v>
      </c>
    </row>
    <row r="33" spans="2:12" ht="30" x14ac:dyDescent="0.2">
      <c r="B33" s="467"/>
      <c r="C33" s="514"/>
      <c r="D33" s="522"/>
      <c r="E33" s="516"/>
      <c r="F33" s="547" t="s">
        <v>748</v>
      </c>
      <c r="G33" s="514"/>
      <c r="H33" s="694"/>
      <c r="I33" s="529"/>
      <c r="J33" s="695">
        <f>2998681-911235.01</f>
        <v>2087445.99</v>
      </c>
      <c r="K33" s="526"/>
    </row>
    <row r="34" spans="2:12" ht="75" x14ac:dyDescent="0.2">
      <c r="B34" s="467">
        <v>1517321</v>
      </c>
      <c r="C34" s="514">
        <v>7321</v>
      </c>
      <c r="D34" s="522" t="s">
        <v>371</v>
      </c>
      <c r="E34" s="516" t="s">
        <v>416</v>
      </c>
      <c r="F34" s="516" t="s">
        <v>753</v>
      </c>
      <c r="G34" s="514" t="s">
        <v>746</v>
      </c>
      <c r="H34" s="694">
        <v>34871954</v>
      </c>
      <c r="I34" s="529">
        <f>1194932.8-140000-200000</f>
        <v>854932.8</v>
      </c>
      <c r="J34" s="694">
        <f>400000-140000-200000</f>
        <v>60000</v>
      </c>
      <c r="K34" s="486">
        <f>I34/H34*100</f>
        <v>2.4516343420274072</v>
      </c>
    </row>
    <row r="35" spans="2:12" ht="105" x14ac:dyDescent="0.2">
      <c r="B35" s="467">
        <v>1517321</v>
      </c>
      <c r="C35" s="514">
        <v>7321</v>
      </c>
      <c r="D35" s="522" t="s">
        <v>371</v>
      </c>
      <c r="E35" s="516" t="s">
        <v>416</v>
      </c>
      <c r="F35" s="516" t="s">
        <v>754</v>
      </c>
      <c r="G35" s="514" t="s">
        <v>755</v>
      </c>
      <c r="H35" s="694"/>
      <c r="I35" s="529">
        <f>4249356-2350000-1600720</f>
        <v>298636</v>
      </c>
      <c r="J35" s="694">
        <f>4200000-2350000-1600720</f>
        <v>249280</v>
      </c>
      <c r="K35" s="514"/>
    </row>
    <row r="36" spans="2:12" ht="45" hidden="1" x14ac:dyDescent="0.2">
      <c r="B36" s="467">
        <v>1517321</v>
      </c>
      <c r="C36" s="514">
        <v>7321</v>
      </c>
      <c r="D36" s="522" t="s">
        <v>371</v>
      </c>
      <c r="E36" s="516" t="s">
        <v>416</v>
      </c>
      <c r="F36" s="516" t="s">
        <v>756</v>
      </c>
      <c r="G36" s="514">
        <v>2022</v>
      </c>
      <c r="H36" s="521"/>
      <c r="I36" s="529">
        <v>0</v>
      </c>
      <c r="J36" s="694">
        <v>0</v>
      </c>
      <c r="K36" s="514"/>
      <c r="L36" s="396">
        <v>-200000</v>
      </c>
    </row>
    <row r="37" spans="2:12" ht="45" hidden="1" x14ac:dyDescent="0.2">
      <c r="B37" s="467">
        <v>1517321</v>
      </c>
      <c r="C37" s="514">
        <v>7321</v>
      </c>
      <c r="D37" s="522" t="s">
        <v>371</v>
      </c>
      <c r="E37" s="516" t="s">
        <v>416</v>
      </c>
      <c r="F37" s="516" t="s">
        <v>757</v>
      </c>
      <c r="G37" s="514">
        <v>2022</v>
      </c>
      <c r="H37" s="521"/>
      <c r="I37" s="529">
        <v>0</v>
      </c>
      <c r="J37" s="694">
        <v>0</v>
      </c>
      <c r="K37" s="514"/>
      <c r="L37" s="396">
        <v>-150000</v>
      </c>
    </row>
    <row r="38" spans="2:12" ht="45" x14ac:dyDescent="0.2">
      <c r="B38" s="467">
        <v>1517321</v>
      </c>
      <c r="C38" s="514">
        <v>7321</v>
      </c>
      <c r="D38" s="522" t="s">
        <v>371</v>
      </c>
      <c r="E38" s="516" t="s">
        <v>416</v>
      </c>
      <c r="F38" s="516" t="s">
        <v>759</v>
      </c>
      <c r="G38" s="514">
        <v>2022</v>
      </c>
      <c r="H38" s="521"/>
      <c r="I38" s="529">
        <v>50000</v>
      </c>
      <c r="J38" s="694">
        <v>50000</v>
      </c>
      <c r="K38" s="514"/>
    </row>
    <row r="39" spans="2:12" ht="30" x14ac:dyDescent="0.2">
      <c r="B39" s="467">
        <v>1517321</v>
      </c>
      <c r="C39" s="514">
        <v>7321</v>
      </c>
      <c r="D39" s="522" t="s">
        <v>371</v>
      </c>
      <c r="E39" s="516" t="s">
        <v>416</v>
      </c>
      <c r="F39" s="516" t="s">
        <v>760</v>
      </c>
      <c r="G39" s="514" t="s">
        <v>755</v>
      </c>
      <c r="H39" s="521"/>
      <c r="I39" s="529">
        <v>149000</v>
      </c>
      <c r="J39" s="694">
        <v>50000</v>
      </c>
      <c r="K39" s="514"/>
    </row>
    <row r="40" spans="2:12" ht="75" x14ac:dyDescent="0.2">
      <c r="B40" s="467">
        <v>1517321</v>
      </c>
      <c r="C40" s="514">
        <v>7321</v>
      </c>
      <c r="D40" s="522" t="s">
        <v>371</v>
      </c>
      <c r="E40" s="516" t="s">
        <v>416</v>
      </c>
      <c r="F40" s="516" t="s">
        <v>802</v>
      </c>
      <c r="G40" s="514">
        <v>2022</v>
      </c>
      <c r="H40" s="521"/>
      <c r="I40" s="529">
        <v>70000</v>
      </c>
      <c r="J40" s="694">
        <v>70000</v>
      </c>
      <c r="K40" s="514"/>
    </row>
    <row r="41" spans="2:12" ht="25.5" customHeight="1" x14ac:dyDescent="0.2">
      <c r="B41" s="478" t="s">
        <v>420</v>
      </c>
      <c r="C41" s="512" t="s">
        <v>421</v>
      </c>
      <c r="D41" s="512" t="s">
        <v>371</v>
      </c>
      <c r="E41" s="513" t="s">
        <v>422</v>
      </c>
      <c r="F41" s="512"/>
      <c r="G41" s="512"/>
      <c r="H41" s="696">
        <f>H42+H43</f>
        <v>0</v>
      </c>
      <c r="I41" s="696">
        <f>I42+I43</f>
        <v>250000</v>
      </c>
      <c r="J41" s="696">
        <f>J42+J43</f>
        <v>250000</v>
      </c>
      <c r="K41" s="512"/>
    </row>
    <row r="42" spans="2:12" ht="45" x14ac:dyDescent="0.2">
      <c r="B42" s="467">
        <v>1517324</v>
      </c>
      <c r="C42" s="514" t="s">
        <v>421</v>
      </c>
      <c r="D42" s="514" t="s">
        <v>371</v>
      </c>
      <c r="E42" s="516" t="s">
        <v>422</v>
      </c>
      <c r="F42" s="516" t="s">
        <v>803</v>
      </c>
      <c r="G42" s="514">
        <v>2022</v>
      </c>
      <c r="H42" s="521"/>
      <c r="I42" s="529">
        <v>250000</v>
      </c>
      <c r="J42" s="694">
        <v>250000</v>
      </c>
      <c r="K42" s="514"/>
    </row>
    <row r="43" spans="2:12" ht="63.75" hidden="1" customHeight="1" x14ac:dyDescent="0.2">
      <c r="B43" s="467">
        <v>1517324</v>
      </c>
      <c r="C43" s="514" t="s">
        <v>421</v>
      </c>
      <c r="D43" s="514" t="s">
        <v>371</v>
      </c>
      <c r="E43" s="516" t="s">
        <v>422</v>
      </c>
      <c r="F43" s="516" t="s">
        <v>761</v>
      </c>
      <c r="G43" s="514" t="s">
        <v>742</v>
      </c>
      <c r="H43" s="694">
        <v>0</v>
      </c>
      <c r="I43" s="529">
        <v>0</v>
      </c>
      <c r="J43" s="694">
        <v>0</v>
      </c>
      <c r="K43" s="514"/>
    </row>
    <row r="44" spans="2:12" ht="28.5" x14ac:dyDescent="0.2">
      <c r="B44" s="478" t="s">
        <v>426</v>
      </c>
      <c r="C44" s="512" t="s">
        <v>374</v>
      </c>
      <c r="D44" s="512" t="s">
        <v>371</v>
      </c>
      <c r="E44" s="513" t="s">
        <v>762</v>
      </c>
      <c r="F44" s="514"/>
      <c r="G44" s="514"/>
      <c r="H44" s="692">
        <f>SUM(H45:H69)-H47</f>
        <v>46891738</v>
      </c>
      <c r="I44" s="692">
        <f>SUM(I45:I69)-I47</f>
        <v>7274165.2000000002</v>
      </c>
      <c r="J44" s="692">
        <f>SUM(J45:J69)-J47</f>
        <v>3330186.2</v>
      </c>
      <c r="K44" s="514"/>
    </row>
    <row r="45" spans="2:12" ht="75" x14ac:dyDescent="0.2">
      <c r="B45" s="467" t="s">
        <v>426</v>
      </c>
      <c r="C45" s="514" t="s">
        <v>374</v>
      </c>
      <c r="D45" s="514" t="s">
        <v>371</v>
      </c>
      <c r="E45" s="516" t="s">
        <v>762</v>
      </c>
      <c r="F45" s="516" t="s">
        <v>804</v>
      </c>
      <c r="G45" s="514" t="s">
        <v>755</v>
      </c>
      <c r="H45" s="694">
        <f>2896147+841012</f>
        <v>3737159</v>
      </c>
      <c r="I45" s="529">
        <f>279400-48688</f>
        <v>230712</v>
      </c>
      <c r="J45" s="694">
        <f>100000-48688</f>
        <v>51312</v>
      </c>
      <c r="K45" s="486">
        <f>I45/H45*100</f>
        <v>6.1734595718298308</v>
      </c>
    </row>
    <row r="46" spans="2:12" ht="30" x14ac:dyDescent="0.2">
      <c r="B46" s="467" t="s">
        <v>426</v>
      </c>
      <c r="C46" s="514" t="s">
        <v>374</v>
      </c>
      <c r="D46" s="514" t="s">
        <v>371</v>
      </c>
      <c r="E46" s="516" t="s">
        <v>762</v>
      </c>
      <c r="F46" s="516" t="s">
        <v>763</v>
      </c>
      <c r="G46" s="514" t="s">
        <v>755</v>
      </c>
      <c r="H46" s="694">
        <v>10692414</v>
      </c>
      <c r="I46" s="529">
        <f>6372163+1294832-5593334.8</f>
        <v>2073660.2000000002</v>
      </c>
      <c r="J46" s="694">
        <f>5593334+1294832-5593334.8</f>
        <v>1294831.2000000002</v>
      </c>
      <c r="K46" s="486">
        <f>I46/H46*100</f>
        <v>19.39375149521895</v>
      </c>
    </row>
    <row r="47" spans="2:12" ht="30" hidden="1" x14ac:dyDescent="0.2">
      <c r="B47" s="467"/>
      <c r="C47" s="514"/>
      <c r="D47" s="514"/>
      <c r="E47" s="516"/>
      <c r="F47" s="547" t="s">
        <v>748</v>
      </c>
      <c r="G47" s="514"/>
      <c r="H47" s="694"/>
      <c r="I47" s="529"/>
      <c r="J47" s="695">
        <f>5593334-5593334</f>
        <v>0</v>
      </c>
      <c r="K47" s="526"/>
    </row>
    <row r="48" spans="2:12" ht="60" x14ac:dyDescent="0.2">
      <c r="B48" s="467" t="s">
        <v>426</v>
      </c>
      <c r="C48" s="514" t="s">
        <v>374</v>
      </c>
      <c r="D48" s="514" t="s">
        <v>371</v>
      </c>
      <c r="E48" s="516" t="s">
        <v>762</v>
      </c>
      <c r="F48" s="534" t="s">
        <v>805</v>
      </c>
      <c r="G48" s="514" t="s">
        <v>755</v>
      </c>
      <c r="H48" s="694">
        <v>3788417</v>
      </c>
      <c r="I48" s="529">
        <v>2101809</v>
      </c>
      <c r="J48" s="694">
        <v>100000</v>
      </c>
      <c r="K48" s="486">
        <f>I48/H48*100</f>
        <v>55.479874575581299</v>
      </c>
    </row>
    <row r="49" spans="2:11" ht="30" x14ac:dyDescent="0.2">
      <c r="B49" s="467" t="s">
        <v>426</v>
      </c>
      <c r="C49" s="514" t="s">
        <v>374</v>
      </c>
      <c r="D49" s="514" t="s">
        <v>371</v>
      </c>
      <c r="E49" s="516" t="s">
        <v>762</v>
      </c>
      <c r="F49" s="534" t="s">
        <v>765</v>
      </c>
      <c r="G49" s="514" t="s">
        <v>755</v>
      </c>
      <c r="H49" s="694"/>
      <c r="I49" s="529">
        <v>99356</v>
      </c>
      <c r="J49" s="694">
        <v>50000</v>
      </c>
      <c r="K49" s="526"/>
    </row>
    <row r="50" spans="2:11" ht="30" x14ac:dyDescent="0.2">
      <c r="B50" s="467" t="s">
        <v>426</v>
      </c>
      <c r="C50" s="514" t="s">
        <v>374</v>
      </c>
      <c r="D50" s="514" t="s">
        <v>371</v>
      </c>
      <c r="E50" s="516" t="s">
        <v>762</v>
      </c>
      <c r="F50" s="516" t="s">
        <v>766</v>
      </c>
      <c r="G50" s="514" t="s">
        <v>755</v>
      </c>
      <c r="H50" s="694">
        <v>3640000</v>
      </c>
      <c r="I50" s="529">
        <f>3640000-3550000-41000</f>
        <v>49000</v>
      </c>
      <c r="J50" s="694">
        <f>3640000-3550000-41000</f>
        <v>49000</v>
      </c>
      <c r="K50" s="486">
        <f>I50/H50*100</f>
        <v>1.3461538461538463</v>
      </c>
    </row>
    <row r="51" spans="2:11" ht="30" x14ac:dyDescent="0.2">
      <c r="B51" s="467" t="s">
        <v>426</v>
      </c>
      <c r="C51" s="514" t="s">
        <v>374</v>
      </c>
      <c r="D51" s="514" t="s">
        <v>371</v>
      </c>
      <c r="E51" s="516" t="s">
        <v>762</v>
      </c>
      <c r="F51" s="516" t="s">
        <v>767</v>
      </c>
      <c r="G51" s="514" t="s">
        <v>755</v>
      </c>
      <c r="H51" s="694"/>
      <c r="I51" s="529">
        <v>99529</v>
      </c>
      <c r="J51" s="694">
        <v>50000</v>
      </c>
      <c r="K51" s="535"/>
    </row>
    <row r="52" spans="2:11" ht="30" x14ac:dyDescent="0.2">
      <c r="B52" s="467" t="s">
        <v>426</v>
      </c>
      <c r="C52" s="514" t="s">
        <v>374</v>
      </c>
      <c r="D52" s="514" t="s">
        <v>371</v>
      </c>
      <c r="E52" s="516" t="s">
        <v>762</v>
      </c>
      <c r="F52" s="516" t="s">
        <v>818</v>
      </c>
      <c r="G52" s="514" t="s">
        <v>755</v>
      </c>
      <c r="H52" s="694">
        <v>1538159</v>
      </c>
      <c r="I52" s="529">
        <v>1528552</v>
      </c>
      <c r="J52" s="694">
        <v>1032392</v>
      </c>
      <c r="K52" s="486">
        <f t="shared" ref="K52:K57" si="0">I52/H52*100</f>
        <v>99.375422176771067</v>
      </c>
    </row>
    <row r="53" spans="2:11" ht="45" x14ac:dyDescent="0.2">
      <c r="B53" s="467" t="s">
        <v>426</v>
      </c>
      <c r="C53" s="514" t="s">
        <v>374</v>
      </c>
      <c r="D53" s="514" t="s">
        <v>371</v>
      </c>
      <c r="E53" s="516" t="s">
        <v>762</v>
      </c>
      <c r="F53" s="516" t="s">
        <v>768</v>
      </c>
      <c r="G53" s="514" t="s">
        <v>755</v>
      </c>
      <c r="H53" s="694">
        <v>5063600</v>
      </c>
      <c r="I53" s="529">
        <f>5063600-5000000</f>
        <v>63600</v>
      </c>
      <c r="J53" s="694">
        <f>5015000-5000000</f>
        <v>15000</v>
      </c>
      <c r="K53" s="486">
        <f t="shared" si="0"/>
        <v>1.2560233825736631</v>
      </c>
    </row>
    <row r="54" spans="2:11" ht="45" x14ac:dyDescent="0.2">
      <c r="B54" s="467" t="s">
        <v>426</v>
      </c>
      <c r="C54" s="514" t="s">
        <v>374</v>
      </c>
      <c r="D54" s="514" t="s">
        <v>371</v>
      </c>
      <c r="E54" s="516" t="s">
        <v>762</v>
      </c>
      <c r="F54" s="516" t="s">
        <v>769</v>
      </c>
      <c r="G54" s="514" t="s">
        <v>755</v>
      </c>
      <c r="H54" s="694">
        <v>1628752</v>
      </c>
      <c r="I54" s="529">
        <f>1628752-1371248-173752</f>
        <v>83752</v>
      </c>
      <c r="J54" s="694">
        <f>1580152-1500000-45000</f>
        <v>35152</v>
      </c>
      <c r="K54" s="486">
        <f t="shared" si="0"/>
        <v>5.1420965254378812</v>
      </c>
    </row>
    <row r="55" spans="2:11" ht="45" x14ac:dyDescent="0.2">
      <c r="B55" s="467" t="s">
        <v>426</v>
      </c>
      <c r="C55" s="514" t="s">
        <v>374</v>
      </c>
      <c r="D55" s="514" t="s">
        <v>371</v>
      </c>
      <c r="E55" s="516" t="s">
        <v>762</v>
      </c>
      <c r="F55" s="534" t="s">
        <v>770</v>
      </c>
      <c r="G55" s="514" t="s">
        <v>755</v>
      </c>
      <c r="H55" s="694">
        <v>5220000</v>
      </c>
      <c r="I55" s="529">
        <f>2085860-1900000</f>
        <v>185860</v>
      </c>
      <c r="J55" s="694">
        <f>2000000-1900000</f>
        <v>100000</v>
      </c>
      <c r="K55" s="486">
        <f t="shared" si="0"/>
        <v>3.5605363984674328</v>
      </c>
    </row>
    <row r="56" spans="2:11" ht="45" x14ac:dyDescent="0.2">
      <c r="B56" s="467" t="s">
        <v>426</v>
      </c>
      <c r="C56" s="514" t="s">
        <v>374</v>
      </c>
      <c r="D56" s="514" t="s">
        <v>371</v>
      </c>
      <c r="E56" s="516" t="s">
        <v>762</v>
      </c>
      <c r="F56" s="516" t="s">
        <v>771</v>
      </c>
      <c r="G56" s="514" t="s">
        <v>755</v>
      </c>
      <c r="H56" s="694">
        <v>5062998</v>
      </c>
      <c r="I56" s="529">
        <f>5062998-4500000-467661</f>
        <v>95337</v>
      </c>
      <c r="J56" s="694">
        <f>5015000-4500000-467661</f>
        <v>47339</v>
      </c>
      <c r="K56" s="486">
        <f t="shared" si="0"/>
        <v>1.8830147671399435</v>
      </c>
    </row>
    <row r="57" spans="2:11" ht="45" x14ac:dyDescent="0.2">
      <c r="B57" s="467" t="s">
        <v>426</v>
      </c>
      <c r="C57" s="514" t="s">
        <v>374</v>
      </c>
      <c r="D57" s="514" t="s">
        <v>371</v>
      </c>
      <c r="E57" s="516" t="s">
        <v>762</v>
      </c>
      <c r="F57" s="516" t="s">
        <v>772</v>
      </c>
      <c r="G57" s="514" t="s">
        <v>755</v>
      </c>
      <c r="H57" s="694">
        <v>1570000</v>
      </c>
      <c r="I57" s="529">
        <f>1500000-1450000</f>
        <v>50000</v>
      </c>
      <c r="J57" s="694">
        <f>1500000-1450000</f>
        <v>50000</v>
      </c>
      <c r="K57" s="486">
        <f t="shared" si="0"/>
        <v>3.1847133757961785</v>
      </c>
    </row>
    <row r="58" spans="2:11" ht="38.25" customHeight="1" x14ac:dyDescent="0.2">
      <c r="B58" s="467" t="s">
        <v>426</v>
      </c>
      <c r="C58" s="514" t="s">
        <v>374</v>
      </c>
      <c r="D58" s="514" t="s">
        <v>371</v>
      </c>
      <c r="E58" s="516" t="s">
        <v>762</v>
      </c>
      <c r="F58" s="516" t="s">
        <v>773</v>
      </c>
      <c r="G58" s="514" t="s">
        <v>755</v>
      </c>
      <c r="H58" s="694">
        <v>270000</v>
      </c>
      <c r="I58" s="529">
        <f t="shared" ref="I58:J62" si="1">200000-150000</f>
        <v>50000</v>
      </c>
      <c r="J58" s="694">
        <f t="shared" si="1"/>
        <v>50000</v>
      </c>
      <c r="K58" s="486">
        <f t="shared" ref="K58:K64" si="2">I58/H58*100</f>
        <v>18.518518518518519</v>
      </c>
    </row>
    <row r="59" spans="2:11" ht="45" x14ac:dyDescent="0.2">
      <c r="B59" s="467" t="s">
        <v>426</v>
      </c>
      <c r="C59" s="514" t="s">
        <v>374</v>
      </c>
      <c r="D59" s="514" t="s">
        <v>371</v>
      </c>
      <c r="E59" s="516" t="s">
        <v>762</v>
      </c>
      <c r="F59" s="516" t="s">
        <v>774</v>
      </c>
      <c r="G59" s="514" t="s">
        <v>755</v>
      </c>
      <c r="H59" s="694">
        <v>270000</v>
      </c>
      <c r="I59" s="529">
        <f t="shared" si="1"/>
        <v>50000</v>
      </c>
      <c r="J59" s="694">
        <f t="shared" si="1"/>
        <v>50000</v>
      </c>
      <c r="K59" s="486">
        <f t="shared" si="2"/>
        <v>18.518518518518519</v>
      </c>
    </row>
    <row r="60" spans="2:11" ht="30" x14ac:dyDescent="0.2">
      <c r="B60" s="467" t="s">
        <v>426</v>
      </c>
      <c r="C60" s="514" t="s">
        <v>374</v>
      </c>
      <c r="D60" s="514" t="s">
        <v>371</v>
      </c>
      <c r="E60" s="516" t="s">
        <v>762</v>
      </c>
      <c r="F60" s="516" t="s">
        <v>775</v>
      </c>
      <c r="G60" s="514" t="s">
        <v>755</v>
      </c>
      <c r="H60" s="694">
        <v>270000</v>
      </c>
      <c r="I60" s="529">
        <f t="shared" si="1"/>
        <v>50000</v>
      </c>
      <c r="J60" s="694">
        <f t="shared" si="1"/>
        <v>50000</v>
      </c>
      <c r="K60" s="486">
        <f t="shared" si="2"/>
        <v>18.518518518518519</v>
      </c>
    </row>
    <row r="61" spans="2:11" ht="30" x14ac:dyDescent="0.2">
      <c r="B61" s="467" t="s">
        <v>426</v>
      </c>
      <c r="C61" s="514" t="s">
        <v>374</v>
      </c>
      <c r="D61" s="514" t="s">
        <v>371</v>
      </c>
      <c r="E61" s="516" t="s">
        <v>762</v>
      </c>
      <c r="F61" s="516" t="s">
        <v>776</v>
      </c>
      <c r="G61" s="514" t="s">
        <v>755</v>
      </c>
      <c r="H61" s="694">
        <v>270000</v>
      </c>
      <c r="I61" s="529">
        <f t="shared" si="1"/>
        <v>50000</v>
      </c>
      <c r="J61" s="694">
        <f t="shared" si="1"/>
        <v>50000</v>
      </c>
      <c r="K61" s="486">
        <f t="shared" si="2"/>
        <v>18.518518518518519</v>
      </c>
    </row>
    <row r="62" spans="2:11" ht="30" x14ac:dyDescent="0.2">
      <c r="B62" s="467" t="s">
        <v>426</v>
      </c>
      <c r="C62" s="514" t="s">
        <v>374</v>
      </c>
      <c r="D62" s="514" t="s">
        <v>371</v>
      </c>
      <c r="E62" s="516" t="s">
        <v>762</v>
      </c>
      <c r="F62" s="516" t="s">
        <v>777</v>
      </c>
      <c r="G62" s="514" t="s">
        <v>755</v>
      </c>
      <c r="H62" s="694">
        <v>270000</v>
      </c>
      <c r="I62" s="529">
        <f t="shared" si="1"/>
        <v>50000</v>
      </c>
      <c r="J62" s="694">
        <f t="shared" si="1"/>
        <v>50000</v>
      </c>
      <c r="K62" s="486">
        <f t="shared" si="2"/>
        <v>18.518518518518519</v>
      </c>
    </row>
    <row r="63" spans="2:11" ht="30" x14ac:dyDescent="0.2">
      <c r="B63" s="467" t="s">
        <v>426</v>
      </c>
      <c r="C63" s="514" t="s">
        <v>374</v>
      </c>
      <c r="D63" s="514" t="s">
        <v>371</v>
      </c>
      <c r="E63" s="516" t="s">
        <v>762</v>
      </c>
      <c r="F63" s="516" t="s">
        <v>778</v>
      </c>
      <c r="G63" s="514" t="s">
        <v>755</v>
      </c>
      <c r="H63" s="694">
        <f>940000+207464</f>
        <v>1147464</v>
      </c>
      <c r="I63" s="529">
        <f>870000-850000</f>
        <v>20000</v>
      </c>
      <c r="J63" s="694">
        <f>870000-850000</f>
        <v>20000</v>
      </c>
      <c r="K63" s="486">
        <f t="shared" si="2"/>
        <v>1.7429740715177122</v>
      </c>
    </row>
    <row r="64" spans="2:11" ht="45" x14ac:dyDescent="0.2">
      <c r="B64" s="467" t="s">
        <v>426</v>
      </c>
      <c r="C64" s="514" t="s">
        <v>374</v>
      </c>
      <c r="D64" s="514" t="s">
        <v>371</v>
      </c>
      <c r="E64" s="516" t="s">
        <v>762</v>
      </c>
      <c r="F64" s="516" t="s">
        <v>779</v>
      </c>
      <c r="G64" s="514">
        <v>2022</v>
      </c>
      <c r="H64" s="694">
        <f>1640000+812775</f>
        <v>2452775</v>
      </c>
      <c r="I64" s="529">
        <f>1640000-1500000-80000</f>
        <v>60000</v>
      </c>
      <c r="J64" s="694">
        <f>1640000-1500000-80000</f>
        <v>60000</v>
      </c>
      <c r="K64" s="486">
        <f t="shared" si="2"/>
        <v>2.4462088858537778</v>
      </c>
    </row>
    <row r="65" spans="2:12" ht="45" x14ac:dyDescent="0.2">
      <c r="B65" s="467" t="s">
        <v>426</v>
      </c>
      <c r="C65" s="514" t="s">
        <v>374</v>
      </c>
      <c r="D65" s="514" t="s">
        <v>371</v>
      </c>
      <c r="E65" s="516" t="s">
        <v>762</v>
      </c>
      <c r="F65" s="516" t="s">
        <v>780</v>
      </c>
      <c r="G65" s="514" t="s">
        <v>755</v>
      </c>
      <c r="H65" s="694"/>
      <c r="I65" s="529">
        <v>68040</v>
      </c>
      <c r="J65" s="694">
        <v>34020</v>
      </c>
      <c r="K65" s="535"/>
    </row>
    <row r="66" spans="2:12" ht="45" x14ac:dyDescent="0.2">
      <c r="B66" s="467" t="s">
        <v>426</v>
      </c>
      <c r="C66" s="514" t="s">
        <v>374</v>
      </c>
      <c r="D66" s="514" t="s">
        <v>371</v>
      </c>
      <c r="E66" s="516" t="s">
        <v>762</v>
      </c>
      <c r="F66" s="516" t="s">
        <v>781</v>
      </c>
      <c r="G66" s="514" t="s">
        <v>755</v>
      </c>
      <c r="H66" s="694"/>
      <c r="I66" s="529">
        <v>62678</v>
      </c>
      <c r="J66" s="694">
        <v>15000</v>
      </c>
      <c r="K66" s="535"/>
    </row>
    <row r="67" spans="2:12" ht="30" x14ac:dyDescent="0.2">
      <c r="B67" s="467" t="s">
        <v>426</v>
      </c>
      <c r="C67" s="514" t="s">
        <v>374</v>
      </c>
      <c r="D67" s="514" t="s">
        <v>371</v>
      </c>
      <c r="E67" s="516" t="s">
        <v>762</v>
      </c>
      <c r="F67" s="516" t="s">
        <v>782</v>
      </c>
      <c r="G67" s="514" t="s">
        <v>755</v>
      </c>
      <c r="H67" s="694"/>
      <c r="I67" s="529">
        <v>77760</v>
      </c>
      <c r="J67" s="694">
        <v>38880</v>
      </c>
      <c r="K67" s="535"/>
    </row>
    <row r="68" spans="2:12" ht="45" x14ac:dyDescent="0.2">
      <c r="B68" s="467" t="s">
        <v>426</v>
      </c>
      <c r="C68" s="514" t="s">
        <v>374</v>
      </c>
      <c r="D68" s="514" t="s">
        <v>371</v>
      </c>
      <c r="E68" s="516" t="s">
        <v>762</v>
      </c>
      <c r="F68" s="516" t="s">
        <v>783</v>
      </c>
      <c r="G68" s="514" t="s">
        <v>755</v>
      </c>
      <c r="H68" s="694"/>
      <c r="I68" s="529">
        <v>74520</v>
      </c>
      <c r="J68" s="694">
        <v>37260</v>
      </c>
      <c r="K68" s="535"/>
    </row>
    <row r="69" spans="2:12" ht="30" hidden="1" x14ac:dyDescent="0.2">
      <c r="B69" s="467" t="s">
        <v>426</v>
      </c>
      <c r="C69" s="514" t="s">
        <v>374</v>
      </c>
      <c r="D69" s="514" t="s">
        <v>371</v>
      </c>
      <c r="E69" s="516" t="s">
        <v>762</v>
      </c>
      <c r="F69" s="516" t="s">
        <v>784</v>
      </c>
      <c r="G69" s="514">
        <v>2022</v>
      </c>
      <c r="H69" s="694"/>
      <c r="I69" s="529"/>
      <c r="J69" s="694"/>
      <c r="K69" s="535"/>
      <c r="L69" s="396">
        <v>-200000</v>
      </c>
    </row>
    <row r="70" spans="2:12" ht="28.5" x14ac:dyDescent="0.2">
      <c r="B70" s="478">
        <v>1517340</v>
      </c>
      <c r="C70" s="512">
        <v>7340</v>
      </c>
      <c r="D70" s="512" t="s">
        <v>371</v>
      </c>
      <c r="E70" s="513" t="s">
        <v>430</v>
      </c>
      <c r="F70" s="536"/>
      <c r="G70" s="514"/>
      <c r="H70" s="697">
        <f>SUM(H71:H72)</f>
        <v>0</v>
      </c>
      <c r="I70" s="691">
        <v>1498360</v>
      </c>
      <c r="J70" s="697">
        <f>SUM(J71:J72)</f>
        <v>838700</v>
      </c>
      <c r="K70" s="514"/>
    </row>
    <row r="71" spans="2:12" ht="90" x14ac:dyDescent="0.25">
      <c r="B71" s="467">
        <v>1517340</v>
      </c>
      <c r="C71" s="514">
        <v>7340</v>
      </c>
      <c r="D71" s="538" t="s">
        <v>371</v>
      </c>
      <c r="E71" s="516" t="s">
        <v>430</v>
      </c>
      <c r="F71" s="539" t="s">
        <v>785</v>
      </c>
      <c r="G71" s="514">
        <v>2022</v>
      </c>
      <c r="H71" s="694"/>
      <c r="I71" s="529">
        <v>93360</v>
      </c>
      <c r="J71" s="694">
        <v>93360</v>
      </c>
      <c r="K71" s="514"/>
    </row>
    <row r="72" spans="2:12" ht="75" x14ac:dyDescent="0.2">
      <c r="B72" s="467">
        <v>1517340</v>
      </c>
      <c r="C72" s="514">
        <v>7340</v>
      </c>
      <c r="D72" s="538" t="s">
        <v>371</v>
      </c>
      <c r="E72" s="516" t="s">
        <v>430</v>
      </c>
      <c r="F72" s="534" t="s">
        <v>786</v>
      </c>
      <c r="G72" s="514" t="s">
        <v>755</v>
      </c>
      <c r="H72" s="694"/>
      <c r="I72" s="529">
        <v>1405000</v>
      </c>
      <c r="J72" s="694">
        <v>745340</v>
      </c>
      <c r="K72" s="540"/>
    </row>
    <row r="73" spans="2:12" ht="15" x14ac:dyDescent="0.25">
      <c r="B73" s="478">
        <v>1517441</v>
      </c>
      <c r="C73" s="512">
        <v>7441</v>
      </c>
      <c r="D73" s="512" t="s">
        <v>381</v>
      </c>
      <c r="E73" s="513" t="s">
        <v>433</v>
      </c>
      <c r="F73" s="541"/>
      <c r="G73" s="514"/>
      <c r="H73" s="692">
        <f>H74</f>
        <v>34686155</v>
      </c>
      <c r="I73" s="692">
        <f>I74</f>
        <v>534411.34999999963</v>
      </c>
      <c r="J73" s="692">
        <f>J74</f>
        <v>50000</v>
      </c>
      <c r="K73" s="514"/>
    </row>
    <row r="74" spans="2:12" ht="30" x14ac:dyDescent="0.2">
      <c r="B74" s="467">
        <v>1517441</v>
      </c>
      <c r="C74" s="514">
        <v>7441</v>
      </c>
      <c r="D74" s="514" t="s">
        <v>381</v>
      </c>
      <c r="E74" s="516" t="s">
        <v>433</v>
      </c>
      <c r="F74" s="516" t="s">
        <v>787</v>
      </c>
      <c r="G74" s="514" t="s">
        <v>755</v>
      </c>
      <c r="H74" s="694">
        <f>34800000-113845</f>
        <v>34686155</v>
      </c>
      <c r="I74" s="529">
        <f>10934411.35-8000000-2400000</f>
        <v>534411.34999999963</v>
      </c>
      <c r="J74" s="694">
        <f>10450000-8000000-2400000</f>
        <v>50000</v>
      </c>
      <c r="K74" s="486">
        <f>I74/H74*100</f>
        <v>1.5407050738255643</v>
      </c>
    </row>
    <row r="75" spans="2:12" ht="71.25" x14ac:dyDescent="0.2">
      <c r="B75" s="478" t="s">
        <v>434</v>
      </c>
      <c r="C75" s="512" t="s">
        <v>380</v>
      </c>
      <c r="D75" s="512" t="s">
        <v>381</v>
      </c>
      <c r="E75" s="543" t="s">
        <v>788</v>
      </c>
      <c r="F75" s="514"/>
      <c r="G75" s="514"/>
      <c r="H75" s="692">
        <f>SUM(H76:H84)</f>
        <v>44780906</v>
      </c>
      <c r="I75" s="692">
        <f>SUM(I76:I84)</f>
        <v>1459238</v>
      </c>
      <c r="J75" s="692">
        <f>SUM(J76:J84)</f>
        <v>756072</v>
      </c>
      <c r="K75" s="514"/>
    </row>
    <row r="76" spans="2:12" ht="60" x14ac:dyDescent="0.25">
      <c r="B76" s="467" t="s">
        <v>434</v>
      </c>
      <c r="C76" s="514" t="s">
        <v>380</v>
      </c>
      <c r="D76" s="514" t="s">
        <v>381</v>
      </c>
      <c r="E76" s="539" t="s">
        <v>789</v>
      </c>
      <c r="F76" s="534" t="s">
        <v>790</v>
      </c>
      <c r="G76" s="514" t="s">
        <v>755</v>
      </c>
      <c r="H76" s="694">
        <v>5501111</v>
      </c>
      <c r="I76" s="529">
        <v>159569</v>
      </c>
      <c r="J76" s="694">
        <v>100000</v>
      </c>
      <c r="K76" s="486">
        <f t="shared" ref="K76:K84" si="3">I76/H76*100</f>
        <v>2.9006686103952455</v>
      </c>
    </row>
    <row r="77" spans="2:12" ht="75" x14ac:dyDescent="0.25">
      <c r="B77" s="467" t="s">
        <v>434</v>
      </c>
      <c r="C77" s="514" t="s">
        <v>380</v>
      </c>
      <c r="D77" s="514" t="s">
        <v>381</v>
      </c>
      <c r="E77" s="539" t="s">
        <v>788</v>
      </c>
      <c r="F77" s="516" t="s">
        <v>791</v>
      </c>
      <c r="G77" s="514" t="s">
        <v>755</v>
      </c>
      <c r="H77" s="694">
        <v>600000</v>
      </c>
      <c r="I77" s="529">
        <f>600000-500000</f>
        <v>100000</v>
      </c>
      <c r="J77" s="694">
        <f>600000-500000</f>
        <v>100000</v>
      </c>
      <c r="K77" s="486">
        <f t="shared" si="3"/>
        <v>16.666666666666664</v>
      </c>
    </row>
    <row r="78" spans="2:12" ht="105" x14ac:dyDescent="0.25">
      <c r="B78" s="467" t="s">
        <v>434</v>
      </c>
      <c r="C78" s="514" t="s">
        <v>380</v>
      </c>
      <c r="D78" s="514" t="s">
        <v>381</v>
      </c>
      <c r="E78" s="539" t="s">
        <v>788</v>
      </c>
      <c r="F78" s="534" t="s">
        <v>792</v>
      </c>
      <c r="G78" s="514" t="s">
        <v>755</v>
      </c>
      <c r="H78" s="694"/>
      <c r="I78" s="529">
        <v>300000</v>
      </c>
      <c r="J78" s="694">
        <v>300000</v>
      </c>
      <c r="K78" s="486"/>
    </row>
    <row r="79" spans="2:12" ht="75" x14ac:dyDescent="0.25">
      <c r="B79" s="467" t="s">
        <v>434</v>
      </c>
      <c r="C79" s="514" t="s">
        <v>380</v>
      </c>
      <c r="D79" s="514" t="s">
        <v>381</v>
      </c>
      <c r="E79" s="539" t="s">
        <v>788</v>
      </c>
      <c r="F79" s="516" t="s">
        <v>806</v>
      </c>
      <c r="G79" s="514">
        <v>2022</v>
      </c>
      <c r="H79" s="694">
        <v>13779854</v>
      </c>
      <c r="I79" s="529">
        <f>9921495-8848094-900000</f>
        <v>173401</v>
      </c>
      <c r="J79" s="694">
        <f>9921495-9000000-900000</f>
        <v>21495</v>
      </c>
      <c r="K79" s="486">
        <f t="shared" si="3"/>
        <v>1.2583660175209403</v>
      </c>
    </row>
    <row r="80" spans="2:12" ht="75" x14ac:dyDescent="0.2">
      <c r="B80" s="467" t="s">
        <v>434</v>
      </c>
      <c r="C80" s="514" t="s">
        <v>380</v>
      </c>
      <c r="D80" s="514" t="s">
        <v>381</v>
      </c>
      <c r="E80" s="516" t="s">
        <v>788</v>
      </c>
      <c r="F80" s="516" t="s">
        <v>807</v>
      </c>
      <c r="G80" s="514">
        <v>2022</v>
      </c>
      <c r="H80" s="694">
        <v>3941508</v>
      </c>
      <c r="I80" s="529">
        <f>2837885+143558-2800000</f>
        <v>181443</v>
      </c>
      <c r="J80" s="694">
        <f>2837885-2800000</f>
        <v>37885</v>
      </c>
      <c r="K80" s="486">
        <f t="shared" si="3"/>
        <v>4.6033903774900367</v>
      </c>
    </row>
    <row r="81" spans="2:11" ht="75" x14ac:dyDescent="0.2">
      <c r="B81" s="467" t="s">
        <v>434</v>
      </c>
      <c r="C81" s="514" t="s">
        <v>380</v>
      </c>
      <c r="D81" s="514" t="s">
        <v>381</v>
      </c>
      <c r="E81" s="534" t="s">
        <v>788</v>
      </c>
      <c r="F81" s="516" t="s">
        <v>808</v>
      </c>
      <c r="G81" s="514">
        <v>2022</v>
      </c>
      <c r="H81" s="694">
        <v>12472306</v>
      </c>
      <c r="I81" s="529">
        <f>11058129-9848354-1000000</f>
        <v>209775</v>
      </c>
      <c r="J81" s="694">
        <f>11058129-10000000-1000000</f>
        <v>58129</v>
      </c>
      <c r="K81" s="486">
        <f t="shared" si="3"/>
        <v>1.6819263414480048</v>
      </c>
    </row>
    <row r="82" spans="2:11" ht="75" x14ac:dyDescent="0.2">
      <c r="B82" s="467" t="s">
        <v>434</v>
      </c>
      <c r="C82" s="514" t="s">
        <v>380</v>
      </c>
      <c r="D82" s="514" t="s">
        <v>381</v>
      </c>
      <c r="E82" s="534" t="s">
        <v>788</v>
      </c>
      <c r="F82" s="516" t="s">
        <v>809</v>
      </c>
      <c r="G82" s="514">
        <v>2022</v>
      </c>
      <c r="H82" s="694">
        <v>5461309</v>
      </c>
      <c r="I82" s="529">
        <f>5461309-4851077-450000</f>
        <v>160232</v>
      </c>
      <c r="J82" s="694">
        <f>5461309-5000000-450000</f>
        <v>11309</v>
      </c>
      <c r="K82" s="486">
        <f t="shared" si="3"/>
        <v>2.9339486192779058</v>
      </c>
    </row>
    <row r="83" spans="2:11" ht="75" x14ac:dyDescent="0.2">
      <c r="B83" s="467" t="s">
        <v>434</v>
      </c>
      <c r="C83" s="514" t="s">
        <v>380</v>
      </c>
      <c r="D83" s="514" t="s">
        <v>381</v>
      </c>
      <c r="E83" s="534" t="s">
        <v>788</v>
      </c>
      <c r="F83" s="516" t="s">
        <v>797</v>
      </c>
      <c r="G83" s="514" t="s">
        <v>755</v>
      </c>
      <c r="H83" s="694">
        <v>439818</v>
      </c>
      <c r="I83" s="529">
        <f>439818-350000</f>
        <v>89818</v>
      </c>
      <c r="J83" s="694">
        <f>392254-350000</f>
        <v>42254</v>
      </c>
      <c r="K83" s="486">
        <f t="shared" si="3"/>
        <v>20.421628946518787</v>
      </c>
    </row>
    <row r="84" spans="2:11" ht="75" x14ac:dyDescent="0.2">
      <c r="B84" s="467" t="s">
        <v>434</v>
      </c>
      <c r="C84" s="514" t="s">
        <v>380</v>
      </c>
      <c r="D84" s="514" t="s">
        <v>381</v>
      </c>
      <c r="E84" s="534" t="s">
        <v>788</v>
      </c>
      <c r="F84" s="516" t="s">
        <v>798</v>
      </c>
      <c r="G84" s="514" t="s">
        <v>755</v>
      </c>
      <c r="H84" s="694">
        <v>2585000</v>
      </c>
      <c r="I84" s="529">
        <f>2585000-2000000-500000</f>
        <v>85000</v>
      </c>
      <c r="J84" s="694">
        <f>2585000-2000000-500000</f>
        <v>85000</v>
      </c>
      <c r="K84" s="486">
        <f t="shared" si="3"/>
        <v>3.2882011605415857</v>
      </c>
    </row>
    <row r="85" spans="2:11" x14ac:dyDescent="0.2">
      <c r="B85" s="467" t="s">
        <v>799</v>
      </c>
      <c r="C85" s="467" t="s">
        <v>799</v>
      </c>
      <c r="D85" s="467" t="s">
        <v>799</v>
      </c>
      <c r="E85" s="467" t="s">
        <v>8</v>
      </c>
      <c r="F85" s="467" t="s">
        <v>799</v>
      </c>
      <c r="G85" s="467" t="s">
        <v>799</v>
      </c>
      <c r="H85" s="698">
        <f>H26+H15</f>
        <v>251199826</v>
      </c>
      <c r="I85" s="698">
        <f>I26+I15</f>
        <v>84973293.390000001</v>
      </c>
      <c r="J85" s="698">
        <f>J26+J15</f>
        <v>10501554.379999999</v>
      </c>
      <c r="K85" s="467" t="s">
        <v>799</v>
      </c>
    </row>
    <row r="86" spans="2:11" ht="15.75" x14ac:dyDescent="0.2">
      <c r="B86" s="398"/>
    </row>
    <row r="89" spans="2:11" ht="20.25" customHeight="1" x14ac:dyDescent="0.25">
      <c r="C89" s="617" t="s">
        <v>727</v>
      </c>
      <c r="D89" s="617"/>
      <c r="E89" s="10"/>
      <c r="F89" s="14"/>
      <c r="G89" s="73" t="s">
        <v>728</v>
      </c>
      <c r="H89" s="550"/>
    </row>
    <row r="95" spans="2:11" x14ac:dyDescent="0.2">
      <c r="H95" s="396">
        <v>248792066</v>
      </c>
      <c r="I95" s="396">
        <v>83842046.390000001</v>
      </c>
      <c r="J95" s="396">
        <v>10501554.379999999</v>
      </c>
    </row>
    <row r="96" spans="2:11" x14ac:dyDescent="0.2">
      <c r="H96" s="552">
        <f>H95-H85</f>
        <v>-2407760</v>
      </c>
      <c r="I96" s="552">
        <f t="shared" ref="I96:J96" si="4">I95-I85</f>
        <v>-1131247</v>
      </c>
      <c r="J96" s="552">
        <f t="shared" si="4"/>
        <v>0</v>
      </c>
    </row>
    <row r="97" spans="8:9" x14ac:dyDescent="0.2">
      <c r="H97" s="396">
        <v>1538159</v>
      </c>
      <c r="I97" s="396">
        <v>496160</v>
      </c>
    </row>
    <row r="98" spans="8:9" x14ac:dyDescent="0.2">
      <c r="H98" s="552">
        <f>H97+H96</f>
        <v>-869601</v>
      </c>
      <c r="I98" s="552">
        <f>I97+I96</f>
        <v>-635087</v>
      </c>
    </row>
  </sheetData>
  <autoFilter ref="B14:P85" xr:uid="{00000000-0009-0000-0000-00000A000000}"/>
  <mergeCells count="7">
    <mergeCell ref="C89:D89"/>
    <mergeCell ref="E9:H9"/>
    <mergeCell ref="G1:L3"/>
    <mergeCell ref="H4:L4"/>
    <mergeCell ref="B6:K6"/>
    <mergeCell ref="B7:K7"/>
    <mergeCell ref="B8:K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S151"/>
  <sheetViews>
    <sheetView showZeros="0" view="pageBreakPreview" topLeftCell="A5" zoomScale="70" zoomScaleNormal="60" zoomScaleSheetLayoutView="70" workbookViewId="0">
      <selection activeCell="D133" sqref="D133"/>
    </sheetView>
  </sheetViews>
  <sheetFormatPr defaultRowHeight="15.75" x14ac:dyDescent="0.25"/>
  <cols>
    <col min="1" max="1" width="16.85546875" style="122" customWidth="1"/>
    <col min="2" max="2" width="17.140625" style="122" customWidth="1"/>
    <col min="3" max="3" width="19.7109375" style="6" customWidth="1"/>
    <col min="4" max="4" width="68.85546875" style="123" customWidth="1"/>
    <col min="5" max="5" width="19.140625" style="124" customWidth="1"/>
    <col min="6" max="6" width="21.140625" style="6" customWidth="1"/>
    <col min="7" max="7" width="21.85546875" style="6" customWidth="1"/>
    <col min="8" max="8" width="18" style="6" customWidth="1"/>
    <col min="9" max="9" width="16.85546875" style="6" customWidth="1"/>
    <col min="10" max="10" width="19.5703125" style="124" customWidth="1"/>
    <col min="11" max="11" width="19.140625" style="6" customWidth="1"/>
    <col min="12" max="12" width="16.7109375" style="6" customWidth="1"/>
    <col min="13" max="13" width="15" style="6" customWidth="1"/>
    <col min="14" max="14" width="15.7109375" style="6" customWidth="1"/>
    <col min="15" max="15" width="17.7109375" style="6" customWidth="1"/>
    <col min="16" max="16" width="18.5703125" style="6" customWidth="1"/>
    <col min="17" max="17" width="17.7109375" style="6" bestFit="1" customWidth="1"/>
    <col min="18" max="18" width="22.140625" style="6" customWidth="1"/>
    <col min="19" max="19" width="17.42578125" style="6" bestFit="1" customWidth="1"/>
    <col min="20" max="256" width="9.140625" style="6"/>
    <col min="257" max="257" width="16.85546875" style="6" customWidth="1"/>
    <col min="258" max="258" width="17.140625" style="6" customWidth="1"/>
    <col min="259" max="259" width="19.7109375" style="6" customWidth="1"/>
    <col min="260" max="260" width="68.85546875" style="6" customWidth="1"/>
    <col min="261" max="261" width="19.140625" style="6" customWidth="1"/>
    <col min="262" max="262" width="21.140625" style="6" customWidth="1"/>
    <col min="263" max="263" width="18.7109375" style="6" customWidth="1"/>
    <col min="264" max="264" width="18" style="6" customWidth="1"/>
    <col min="265" max="265" width="16.85546875" style="6" customWidth="1"/>
    <col min="266" max="266" width="19.5703125" style="6" customWidth="1"/>
    <col min="267" max="267" width="19.140625" style="6" customWidth="1"/>
    <col min="268" max="268" width="16.7109375" style="6" customWidth="1"/>
    <col min="269" max="269" width="15" style="6" customWidth="1"/>
    <col min="270" max="270" width="15.7109375" style="6" customWidth="1"/>
    <col min="271" max="271" width="17.7109375" style="6" customWidth="1"/>
    <col min="272" max="272" width="18.5703125" style="6" customWidth="1"/>
    <col min="273" max="273" width="17.7109375" style="6" bestFit="1" customWidth="1"/>
    <col min="274" max="274" width="22.140625" style="6" customWidth="1"/>
    <col min="275" max="275" width="17.42578125" style="6" bestFit="1" customWidth="1"/>
    <col min="276" max="512" width="9.140625" style="6"/>
    <col min="513" max="513" width="16.85546875" style="6" customWidth="1"/>
    <col min="514" max="514" width="17.140625" style="6" customWidth="1"/>
    <col min="515" max="515" width="19.7109375" style="6" customWidth="1"/>
    <col min="516" max="516" width="68.85546875" style="6" customWidth="1"/>
    <col min="517" max="517" width="19.140625" style="6" customWidth="1"/>
    <col min="518" max="518" width="21.140625" style="6" customWidth="1"/>
    <col min="519" max="519" width="18.7109375" style="6" customWidth="1"/>
    <col min="520" max="520" width="18" style="6" customWidth="1"/>
    <col min="521" max="521" width="16.85546875" style="6" customWidth="1"/>
    <col min="522" max="522" width="19.5703125" style="6" customWidth="1"/>
    <col min="523" max="523" width="19.140625" style="6" customWidth="1"/>
    <col min="524" max="524" width="16.7109375" style="6" customWidth="1"/>
    <col min="525" max="525" width="15" style="6" customWidth="1"/>
    <col min="526" max="526" width="15.7109375" style="6" customWidth="1"/>
    <col min="527" max="527" width="17.7109375" style="6" customWidth="1"/>
    <col min="528" max="528" width="18.5703125" style="6" customWidth="1"/>
    <col min="529" max="529" width="17.7109375" style="6" bestFit="1" customWidth="1"/>
    <col min="530" max="530" width="22.140625" style="6" customWidth="1"/>
    <col min="531" max="531" width="17.42578125" style="6" bestFit="1" customWidth="1"/>
    <col min="532" max="768" width="9.140625" style="6"/>
    <col min="769" max="769" width="16.85546875" style="6" customWidth="1"/>
    <col min="770" max="770" width="17.140625" style="6" customWidth="1"/>
    <col min="771" max="771" width="19.7109375" style="6" customWidth="1"/>
    <col min="772" max="772" width="68.85546875" style="6" customWidth="1"/>
    <col min="773" max="773" width="19.140625" style="6" customWidth="1"/>
    <col min="774" max="774" width="21.140625" style="6" customWidth="1"/>
    <col min="775" max="775" width="18.7109375" style="6" customWidth="1"/>
    <col min="776" max="776" width="18" style="6" customWidth="1"/>
    <col min="777" max="777" width="16.85546875" style="6" customWidth="1"/>
    <col min="778" max="778" width="19.5703125" style="6" customWidth="1"/>
    <col min="779" max="779" width="19.140625" style="6" customWidth="1"/>
    <col min="780" max="780" width="16.7109375" style="6" customWidth="1"/>
    <col min="781" max="781" width="15" style="6" customWidth="1"/>
    <col min="782" max="782" width="15.7109375" style="6" customWidth="1"/>
    <col min="783" max="783" width="17.7109375" style="6" customWidth="1"/>
    <col min="784" max="784" width="18.5703125" style="6" customWidth="1"/>
    <col min="785" max="785" width="17.7109375" style="6" bestFit="1" customWidth="1"/>
    <col min="786" max="786" width="22.140625" style="6" customWidth="1"/>
    <col min="787" max="787" width="17.42578125" style="6" bestFit="1" customWidth="1"/>
    <col min="788" max="1024" width="9.140625" style="6"/>
    <col min="1025" max="1025" width="16.85546875" style="6" customWidth="1"/>
    <col min="1026" max="1026" width="17.140625" style="6" customWidth="1"/>
    <col min="1027" max="1027" width="19.7109375" style="6" customWidth="1"/>
    <col min="1028" max="1028" width="68.85546875" style="6" customWidth="1"/>
    <col min="1029" max="1029" width="19.140625" style="6" customWidth="1"/>
    <col min="1030" max="1030" width="21.140625" style="6" customWidth="1"/>
    <col min="1031" max="1031" width="18.7109375" style="6" customWidth="1"/>
    <col min="1032" max="1032" width="18" style="6" customWidth="1"/>
    <col min="1033" max="1033" width="16.85546875" style="6" customWidth="1"/>
    <col min="1034" max="1034" width="19.5703125" style="6" customWidth="1"/>
    <col min="1035" max="1035" width="19.140625" style="6" customWidth="1"/>
    <col min="1036" max="1036" width="16.7109375" style="6" customWidth="1"/>
    <col min="1037" max="1037" width="15" style="6" customWidth="1"/>
    <col min="1038" max="1038" width="15.7109375" style="6" customWidth="1"/>
    <col min="1039" max="1039" width="17.7109375" style="6" customWidth="1"/>
    <col min="1040" max="1040" width="18.5703125" style="6" customWidth="1"/>
    <col min="1041" max="1041" width="17.7109375" style="6" bestFit="1" customWidth="1"/>
    <col min="1042" max="1042" width="22.140625" style="6" customWidth="1"/>
    <col min="1043" max="1043" width="17.42578125" style="6" bestFit="1" customWidth="1"/>
    <col min="1044" max="1280" width="9.140625" style="6"/>
    <col min="1281" max="1281" width="16.85546875" style="6" customWidth="1"/>
    <col min="1282" max="1282" width="17.140625" style="6" customWidth="1"/>
    <col min="1283" max="1283" width="19.7109375" style="6" customWidth="1"/>
    <col min="1284" max="1284" width="68.85546875" style="6" customWidth="1"/>
    <col min="1285" max="1285" width="19.140625" style="6" customWidth="1"/>
    <col min="1286" max="1286" width="21.140625" style="6" customWidth="1"/>
    <col min="1287" max="1287" width="18.7109375" style="6" customWidth="1"/>
    <col min="1288" max="1288" width="18" style="6" customWidth="1"/>
    <col min="1289" max="1289" width="16.85546875" style="6" customWidth="1"/>
    <col min="1290" max="1290" width="19.5703125" style="6" customWidth="1"/>
    <col min="1291" max="1291" width="19.140625" style="6" customWidth="1"/>
    <col min="1292" max="1292" width="16.7109375" style="6" customWidth="1"/>
    <col min="1293" max="1293" width="15" style="6" customWidth="1"/>
    <col min="1294" max="1294" width="15.7109375" style="6" customWidth="1"/>
    <col min="1295" max="1295" width="17.7109375" style="6" customWidth="1"/>
    <col min="1296" max="1296" width="18.5703125" style="6" customWidth="1"/>
    <col min="1297" max="1297" width="17.7109375" style="6" bestFit="1" customWidth="1"/>
    <col min="1298" max="1298" width="22.140625" style="6" customWidth="1"/>
    <col min="1299" max="1299" width="17.42578125" style="6" bestFit="1" customWidth="1"/>
    <col min="1300" max="1536" width="9.140625" style="6"/>
    <col min="1537" max="1537" width="16.85546875" style="6" customWidth="1"/>
    <col min="1538" max="1538" width="17.140625" style="6" customWidth="1"/>
    <col min="1539" max="1539" width="19.7109375" style="6" customWidth="1"/>
    <col min="1540" max="1540" width="68.85546875" style="6" customWidth="1"/>
    <col min="1541" max="1541" width="19.140625" style="6" customWidth="1"/>
    <col min="1542" max="1542" width="21.140625" style="6" customWidth="1"/>
    <col min="1543" max="1543" width="18.7109375" style="6" customWidth="1"/>
    <col min="1544" max="1544" width="18" style="6" customWidth="1"/>
    <col min="1545" max="1545" width="16.85546875" style="6" customWidth="1"/>
    <col min="1546" max="1546" width="19.5703125" style="6" customWidth="1"/>
    <col min="1547" max="1547" width="19.140625" style="6" customWidth="1"/>
    <col min="1548" max="1548" width="16.7109375" style="6" customWidth="1"/>
    <col min="1549" max="1549" width="15" style="6" customWidth="1"/>
    <col min="1550" max="1550" width="15.7109375" style="6" customWidth="1"/>
    <col min="1551" max="1551" width="17.7109375" style="6" customWidth="1"/>
    <col min="1552" max="1552" width="18.5703125" style="6" customWidth="1"/>
    <col min="1553" max="1553" width="17.7109375" style="6" bestFit="1" customWidth="1"/>
    <col min="1554" max="1554" width="22.140625" style="6" customWidth="1"/>
    <col min="1555" max="1555" width="17.42578125" style="6" bestFit="1" customWidth="1"/>
    <col min="1556" max="1792" width="9.140625" style="6"/>
    <col min="1793" max="1793" width="16.85546875" style="6" customWidth="1"/>
    <col min="1794" max="1794" width="17.140625" style="6" customWidth="1"/>
    <col min="1795" max="1795" width="19.7109375" style="6" customWidth="1"/>
    <col min="1796" max="1796" width="68.85546875" style="6" customWidth="1"/>
    <col min="1797" max="1797" width="19.140625" style="6" customWidth="1"/>
    <col min="1798" max="1798" width="21.140625" style="6" customWidth="1"/>
    <col min="1799" max="1799" width="18.7109375" style="6" customWidth="1"/>
    <col min="1800" max="1800" width="18" style="6" customWidth="1"/>
    <col min="1801" max="1801" width="16.85546875" style="6" customWidth="1"/>
    <col min="1802" max="1802" width="19.5703125" style="6" customWidth="1"/>
    <col min="1803" max="1803" width="19.140625" style="6" customWidth="1"/>
    <col min="1804" max="1804" width="16.7109375" style="6" customWidth="1"/>
    <col min="1805" max="1805" width="15" style="6" customWidth="1"/>
    <col min="1806" max="1806" width="15.7109375" style="6" customWidth="1"/>
    <col min="1807" max="1807" width="17.7109375" style="6" customWidth="1"/>
    <col min="1808" max="1808" width="18.5703125" style="6" customWidth="1"/>
    <col min="1809" max="1809" width="17.7109375" style="6" bestFit="1" customWidth="1"/>
    <col min="1810" max="1810" width="22.140625" style="6" customWidth="1"/>
    <col min="1811" max="1811" width="17.42578125" style="6" bestFit="1" customWidth="1"/>
    <col min="1812" max="2048" width="9.140625" style="6"/>
    <col min="2049" max="2049" width="16.85546875" style="6" customWidth="1"/>
    <col min="2050" max="2050" width="17.140625" style="6" customWidth="1"/>
    <col min="2051" max="2051" width="19.7109375" style="6" customWidth="1"/>
    <col min="2052" max="2052" width="68.85546875" style="6" customWidth="1"/>
    <col min="2053" max="2053" width="19.140625" style="6" customWidth="1"/>
    <col min="2054" max="2054" width="21.140625" style="6" customWidth="1"/>
    <col min="2055" max="2055" width="18.7109375" style="6" customWidth="1"/>
    <col min="2056" max="2056" width="18" style="6" customWidth="1"/>
    <col min="2057" max="2057" width="16.85546875" style="6" customWidth="1"/>
    <col min="2058" max="2058" width="19.5703125" style="6" customWidth="1"/>
    <col min="2059" max="2059" width="19.140625" style="6" customWidth="1"/>
    <col min="2060" max="2060" width="16.7109375" style="6" customWidth="1"/>
    <col min="2061" max="2061" width="15" style="6" customWidth="1"/>
    <col min="2062" max="2062" width="15.7109375" style="6" customWidth="1"/>
    <col min="2063" max="2063" width="17.7109375" style="6" customWidth="1"/>
    <col min="2064" max="2064" width="18.5703125" style="6" customWidth="1"/>
    <col min="2065" max="2065" width="17.7109375" style="6" bestFit="1" customWidth="1"/>
    <col min="2066" max="2066" width="22.140625" style="6" customWidth="1"/>
    <col min="2067" max="2067" width="17.42578125" style="6" bestFit="1" customWidth="1"/>
    <col min="2068" max="2304" width="9.140625" style="6"/>
    <col min="2305" max="2305" width="16.85546875" style="6" customWidth="1"/>
    <col min="2306" max="2306" width="17.140625" style="6" customWidth="1"/>
    <col min="2307" max="2307" width="19.7109375" style="6" customWidth="1"/>
    <col min="2308" max="2308" width="68.85546875" style="6" customWidth="1"/>
    <col min="2309" max="2309" width="19.140625" style="6" customWidth="1"/>
    <col min="2310" max="2310" width="21.140625" style="6" customWidth="1"/>
    <col min="2311" max="2311" width="18.7109375" style="6" customWidth="1"/>
    <col min="2312" max="2312" width="18" style="6" customWidth="1"/>
    <col min="2313" max="2313" width="16.85546875" style="6" customWidth="1"/>
    <col min="2314" max="2314" width="19.5703125" style="6" customWidth="1"/>
    <col min="2315" max="2315" width="19.140625" style="6" customWidth="1"/>
    <col min="2316" max="2316" width="16.7109375" style="6" customWidth="1"/>
    <col min="2317" max="2317" width="15" style="6" customWidth="1"/>
    <col min="2318" max="2318" width="15.7109375" style="6" customWidth="1"/>
    <col min="2319" max="2319" width="17.7109375" style="6" customWidth="1"/>
    <col min="2320" max="2320" width="18.5703125" style="6" customWidth="1"/>
    <col min="2321" max="2321" width="17.7109375" style="6" bestFit="1" customWidth="1"/>
    <col min="2322" max="2322" width="22.140625" style="6" customWidth="1"/>
    <col min="2323" max="2323" width="17.42578125" style="6" bestFit="1" customWidth="1"/>
    <col min="2324" max="2560" width="9.140625" style="6"/>
    <col min="2561" max="2561" width="16.85546875" style="6" customWidth="1"/>
    <col min="2562" max="2562" width="17.140625" style="6" customWidth="1"/>
    <col min="2563" max="2563" width="19.7109375" style="6" customWidth="1"/>
    <col min="2564" max="2564" width="68.85546875" style="6" customWidth="1"/>
    <col min="2565" max="2565" width="19.140625" style="6" customWidth="1"/>
    <col min="2566" max="2566" width="21.140625" style="6" customWidth="1"/>
    <col min="2567" max="2567" width="18.7109375" style="6" customWidth="1"/>
    <col min="2568" max="2568" width="18" style="6" customWidth="1"/>
    <col min="2569" max="2569" width="16.85546875" style="6" customWidth="1"/>
    <col min="2570" max="2570" width="19.5703125" style="6" customWidth="1"/>
    <col min="2571" max="2571" width="19.140625" style="6" customWidth="1"/>
    <col min="2572" max="2572" width="16.7109375" style="6" customWidth="1"/>
    <col min="2573" max="2573" width="15" style="6" customWidth="1"/>
    <col min="2574" max="2574" width="15.7109375" style="6" customWidth="1"/>
    <col min="2575" max="2575" width="17.7109375" style="6" customWidth="1"/>
    <col min="2576" max="2576" width="18.5703125" style="6" customWidth="1"/>
    <col min="2577" max="2577" width="17.7109375" style="6" bestFit="1" customWidth="1"/>
    <col min="2578" max="2578" width="22.140625" style="6" customWidth="1"/>
    <col min="2579" max="2579" width="17.42578125" style="6" bestFit="1" customWidth="1"/>
    <col min="2580" max="2816" width="9.140625" style="6"/>
    <col min="2817" max="2817" width="16.85546875" style="6" customWidth="1"/>
    <col min="2818" max="2818" width="17.140625" style="6" customWidth="1"/>
    <col min="2819" max="2819" width="19.7109375" style="6" customWidth="1"/>
    <col min="2820" max="2820" width="68.85546875" style="6" customWidth="1"/>
    <col min="2821" max="2821" width="19.140625" style="6" customWidth="1"/>
    <col min="2822" max="2822" width="21.140625" style="6" customWidth="1"/>
    <col min="2823" max="2823" width="18.7109375" style="6" customWidth="1"/>
    <col min="2824" max="2824" width="18" style="6" customWidth="1"/>
    <col min="2825" max="2825" width="16.85546875" style="6" customWidth="1"/>
    <col min="2826" max="2826" width="19.5703125" style="6" customWidth="1"/>
    <col min="2827" max="2827" width="19.140625" style="6" customWidth="1"/>
    <col min="2828" max="2828" width="16.7109375" style="6" customWidth="1"/>
    <col min="2829" max="2829" width="15" style="6" customWidth="1"/>
    <col min="2830" max="2830" width="15.7109375" style="6" customWidth="1"/>
    <col min="2831" max="2831" width="17.7109375" style="6" customWidth="1"/>
    <col min="2832" max="2832" width="18.5703125" style="6" customWidth="1"/>
    <col min="2833" max="2833" width="17.7109375" style="6" bestFit="1" customWidth="1"/>
    <col min="2834" max="2834" width="22.140625" style="6" customWidth="1"/>
    <col min="2835" max="2835" width="17.42578125" style="6" bestFit="1" customWidth="1"/>
    <col min="2836" max="3072" width="9.140625" style="6"/>
    <col min="3073" max="3073" width="16.85546875" style="6" customWidth="1"/>
    <col min="3074" max="3074" width="17.140625" style="6" customWidth="1"/>
    <col min="3075" max="3075" width="19.7109375" style="6" customWidth="1"/>
    <col min="3076" max="3076" width="68.85546875" style="6" customWidth="1"/>
    <col min="3077" max="3077" width="19.140625" style="6" customWidth="1"/>
    <col min="3078" max="3078" width="21.140625" style="6" customWidth="1"/>
    <col min="3079" max="3079" width="18.7109375" style="6" customWidth="1"/>
    <col min="3080" max="3080" width="18" style="6" customWidth="1"/>
    <col min="3081" max="3081" width="16.85546875" style="6" customWidth="1"/>
    <col min="3082" max="3082" width="19.5703125" style="6" customWidth="1"/>
    <col min="3083" max="3083" width="19.140625" style="6" customWidth="1"/>
    <col min="3084" max="3084" width="16.7109375" style="6" customWidth="1"/>
    <col min="3085" max="3085" width="15" style="6" customWidth="1"/>
    <col min="3086" max="3086" width="15.7109375" style="6" customWidth="1"/>
    <col min="3087" max="3087" width="17.7109375" style="6" customWidth="1"/>
    <col min="3088" max="3088" width="18.5703125" style="6" customWidth="1"/>
    <col min="3089" max="3089" width="17.7109375" style="6" bestFit="1" customWidth="1"/>
    <col min="3090" max="3090" width="22.140625" style="6" customWidth="1"/>
    <col min="3091" max="3091" width="17.42578125" style="6" bestFit="1" customWidth="1"/>
    <col min="3092" max="3328" width="9.140625" style="6"/>
    <col min="3329" max="3329" width="16.85546875" style="6" customWidth="1"/>
    <col min="3330" max="3330" width="17.140625" style="6" customWidth="1"/>
    <col min="3331" max="3331" width="19.7109375" style="6" customWidth="1"/>
    <col min="3332" max="3332" width="68.85546875" style="6" customWidth="1"/>
    <col min="3333" max="3333" width="19.140625" style="6" customWidth="1"/>
    <col min="3334" max="3334" width="21.140625" style="6" customWidth="1"/>
    <col min="3335" max="3335" width="18.7109375" style="6" customWidth="1"/>
    <col min="3336" max="3336" width="18" style="6" customWidth="1"/>
    <col min="3337" max="3337" width="16.85546875" style="6" customWidth="1"/>
    <col min="3338" max="3338" width="19.5703125" style="6" customWidth="1"/>
    <col min="3339" max="3339" width="19.140625" style="6" customWidth="1"/>
    <col min="3340" max="3340" width="16.7109375" style="6" customWidth="1"/>
    <col min="3341" max="3341" width="15" style="6" customWidth="1"/>
    <col min="3342" max="3342" width="15.7109375" style="6" customWidth="1"/>
    <col min="3343" max="3343" width="17.7109375" style="6" customWidth="1"/>
    <col min="3344" max="3344" width="18.5703125" style="6" customWidth="1"/>
    <col min="3345" max="3345" width="17.7109375" style="6" bestFit="1" customWidth="1"/>
    <col min="3346" max="3346" width="22.140625" style="6" customWidth="1"/>
    <col min="3347" max="3347" width="17.42578125" style="6" bestFit="1" customWidth="1"/>
    <col min="3348" max="3584" width="9.140625" style="6"/>
    <col min="3585" max="3585" width="16.85546875" style="6" customWidth="1"/>
    <col min="3586" max="3586" width="17.140625" style="6" customWidth="1"/>
    <col min="3587" max="3587" width="19.7109375" style="6" customWidth="1"/>
    <col min="3588" max="3588" width="68.85546875" style="6" customWidth="1"/>
    <col min="3589" max="3589" width="19.140625" style="6" customWidth="1"/>
    <col min="3590" max="3590" width="21.140625" style="6" customWidth="1"/>
    <col min="3591" max="3591" width="18.7109375" style="6" customWidth="1"/>
    <col min="3592" max="3592" width="18" style="6" customWidth="1"/>
    <col min="3593" max="3593" width="16.85546875" style="6" customWidth="1"/>
    <col min="3594" max="3594" width="19.5703125" style="6" customWidth="1"/>
    <col min="3595" max="3595" width="19.140625" style="6" customWidth="1"/>
    <col min="3596" max="3596" width="16.7109375" style="6" customWidth="1"/>
    <col min="3597" max="3597" width="15" style="6" customWidth="1"/>
    <col min="3598" max="3598" width="15.7109375" style="6" customWidth="1"/>
    <col min="3599" max="3599" width="17.7109375" style="6" customWidth="1"/>
    <col min="3600" max="3600" width="18.5703125" style="6" customWidth="1"/>
    <col min="3601" max="3601" width="17.7109375" style="6" bestFit="1" customWidth="1"/>
    <col min="3602" max="3602" width="22.140625" style="6" customWidth="1"/>
    <col min="3603" max="3603" width="17.42578125" style="6" bestFit="1" customWidth="1"/>
    <col min="3604" max="3840" width="9.140625" style="6"/>
    <col min="3841" max="3841" width="16.85546875" style="6" customWidth="1"/>
    <col min="3842" max="3842" width="17.140625" style="6" customWidth="1"/>
    <col min="3843" max="3843" width="19.7109375" style="6" customWidth="1"/>
    <col min="3844" max="3844" width="68.85546875" style="6" customWidth="1"/>
    <col min="3845" max="3845" width="19.140625" style="6" customWidth="1"/>
    <col min="3846" max="3846" width="21.140625" style="6" customWidth="1"/>
    <col min="3847" max="3847" width="18.7109375" style="6" customWidth="1"/>
    <col min="3848" max="3848" width="18" style="6" customWidth="1"/>
    <col min="3849" max="3849" width="16.85546875" style="6" customWidth="1"/>
    <col min="3850" max="3850" width="19.5703125" style="6" customWidth="1"/>
    <col min="3851" max="3851" width="19.140625" style="6" customWidth="1"/>
    <col min="3852" max="3852" width="16.7109375" style="6" customWidth="1"/>
    <col min="3853" max="3853" width="15" style="6" customWidth="1"/>
    <col min="3854" max="3854" width="15.7109375" style="6" customWidth="1"/>
    <col min="3855" max="3855" width="17.7109375" style="6" customWidth="1"/>
    <col min="3856" max="3856" width="18.5703125" style="6" customWidth="1"/>
    <col min="3857" max="3857" width="17.7109375" style="6" bestFit="1" customWidth="1"/>
    <col min="3858" max="3858" width="22.140625" style="6" customWidth="1"/>
    <col min="3859" max="3859" width="17.42578125" style="6" bestFit="1" customWidth="1"/>
    <col min="3860" max="4096" width="9.140625" style="6"/>
    <col min="4097" max="4097" width="16.85546875" style="6" customWidth="1"/>
    <col min="4098" max="4098" width="17.140625" style="6" customWidth="1"/>
    <col min="4099" max="4099" width="19.7109375" style="6" customWidth="1"/>
    <col min="4100" max="4100" width="68.85546875" style="6" customWidth="1"/>
    <col min="4101" max="4101" width="19.140625" style="6" customWidth="1"/>
    <col min="4102" max="4102" width="21.140625" style="6" customWidth="1"/>
    <col min="4103" max="4103" width="18.7109375" style="6" customWidth="1"/>
    <col min="4104" max="4104" width="18" style="6" customWidth="1"/>
    <col min="4105" max="4105" width="16.85546875" style="6" customWidth="1"/>
    <col min="4106" max="4106" width="19.5703125" style="6" customWidth="1"/>
    <col min="4107" max="4107" width="19.140625" style="6" customWidth="1"/>
    <col min="4108" max="4108" width="16.7109375" style="6" customWidth="1"/>
    <col min="4109" max="4109" width="15" style="6" customWidth="1"/>
    <col min="4110" max="4110" width="15.7109375" style="6" customWidth="1"/>
    <col min="4111" max="4111" width="17.7109375" style="6" customWidth="1"/>
    <col min="4112" max="4112" width="18.5703125" style="6" customWidth="1"/>
    <col min="4113" max="4113" width="17.7109375" style="6" bestFit="1" customWidth="1"/>
    <col min="4114" max="4114" width="22.140625" style="6" customWidth="1"/>
    <col min="4115" max="4115" width="17.42578125" style="6" bestFit="1" customWidth="1"/>
    <col min="4116" max="4352" width="9.140625" style="6"/>
    <col min="4353" max="4353" width="16.85546875" style="6" customWidth="1"/>
    <col min="4354" max="4354" width="17.140625" style="6" customWidth="1"/>
    <col min="4355" max="4355" width="19.7109375" style="6" customWidth="1"/>
    <col min="4356" max="4356" width="68.85546875" style="6" customWidth="1"/>
    <col min="4357" max="4357" width="19.140625" style="6" customWidth="1"/>
    <col min="4358" max="4358" width="21.140625" style="6" customWidth="1"/>
    <col min="4359" max="4359" width="18.7109375" style="6" customWidth="1"/>
    <col min="4360" max="4360" width="18" style="6" customWidth="1"/>
    <col min="4361" max="4361" width="16.85546875" style="6" customWidth="1"/>
    <col min="4362" max="4362" width="19.5703125" style="6" customWidth="1"/>
    <col min="4363" max="4363" width="19.140625" style="6" customWidth="1"/>
    <col min="4364" max="4364" width="16.7109375" style="6" customWidth="1"/>
    <col min="4365" max="4365" width="15" style="6" customWidth="1"/>
    <col min="4366" max="4366" width="15.7109375" style="6" customWidth="1"/>
    <col min="4367" max="4367" width="17.7109375" style="6" customWidth="1"/>
    <col min="4368" max="4368" width="18.5703125" style="6" customWidth="1"/>
    <col min="4369" max="4369" width="17.7109375" style="6" bestFit="1" customWidth="1"/>
    <col min="4370" max="4370" width="22.140625" style="6" customWidth="1"/>
    <col min="4371" max="4371" width="17.42578125" style="6" bestFit="1" customWidth="1"/>
    <col min="4372" max="4608" width="9.140625" style="6"/>
    <col min="4609" max="4609" width="16.85546875" style="6" customWidth="1"/>
    <col min="4610" max="4610" width="17.140625" style="6" customWidth="1"/>
    <col min="4611" max="4611" width="19.7109375" style="6" customWidth="1"/>
    <col min="4612" max="4612" width="68.85546875" style="6" customWidth="1"/>
    <col min="4613" max="4613" width="19.140625" style="6" customWidth="1"/>
    <col min="4614" max="4614" width="21.140625" style="6" customWidth="1"/>
    <col min="4615" max="4615" width="18.7109375" style="6" customWidth="1"/>
    <col min="4616" max="4616" width="18" style="6" customWidth="1"/>
    <col min="4617" max="4617" width="16.85546875" style="6" customWidth="1"/>
    <col min="4618" max="4618" width="19.5703125" style="6" customWidth="1"/>
    <col min="4619" max="4619" width="19.140625" style="6" customWidth="1"/>
    <col min="4620" max="4620" width="16.7109375" style="6" customWidth="1"/>
    <col min="4621" max="4621" width="15" style="6" customWidth="1"/>
    <col min="4622" max="4622" width="15.7109375" style="6" customWidth="1"/>
    <col min="4623" max="4623" width="17.7109375" style="6" customWidth="1"/>
    <col min="4624" max="4624" width="18.5703125" style="6" customWidth="1"/>
    <col min="4625" max="4625" width="17.7109375" style="6" bestFit="1" customWidth="1"/>
    <col min="4626" max="4626" width="22.140625" style="6" customWidth="1"/>
    <col min="4627" max="4627" width="17.42578125" style="6" bestFit="1" customWidth="1"/>
    <col min="4628" max="4864" width="9.140625" style="6"/>
    <col min="4865" max="4865" width="16.85546875" style="6" customWidth="1"/>
    <col min="4866" max="4866" width="17.140625" style="6" customWidth="1"/>
    <col min="4867" max="4867" width="19.7109375" style="6" customWidth="1"/>
    <col min="4868" max="4868" width="68.85546875" style="6" customWidth="1"/>
    <col min="4869" max="4869" width="19.140625" style="6" customWidth="1"/>
    <col min="4870" max="4870" width="21.140625" style="6" customWidth="1"/>
    <col min="4871" max="4871" width="18.7109375" style="6" customWidth="1"/>
    <col min="4872" max="4872" width="18" style="6" customWidth="1"/>
    <col min="4873" max="4873" width="16.85546875" style="6" customWidth="1"/>
    <col min="4874" max="4874" width="19.5703125" style="6" customWidth="1"/>
    <col min="4875" max="4875" width="19.140625" style="6" customWidth="1"/>
    <col min="4876" max="4876" width="16.7109375" style="6" customWidth="1"/>
    <col min="4877" max="4877" width="15" style="6" customWidth="1"/>
    <col min="4878" max="4878" width="15.7109375" style="6" customWidth="1"/>
    <col min="4879" max="4879" width="17.7109375" style="6" customWidth="1"/>
    <col min="4880" max="4880" width="18.5703125" style="6" customWidth="1"/>
    <col min="4881" max="4881" width="17.7109375" style="6" bestFit="1" customWidth="1"/>
    <col min="4882" max="4882" width="22.140625" style="6" customWidth="1"/>
    <col min="4883" max="4883" width="17.42578125" style="6" bestFit="1" customWidth="1"/>
    <col min="4884" max="5120" width="9.140625" style="6"/>
    <col min="5121" max="5121" width="16.85546875" style="6" customWidth="1"/>
    <col min="5122" max="5122" width="17.140625" style="6" customWidth="1"/>
    <col min="5123" max="5123" width="19.7109375" style="6" customWidth="1"/>
    <col min="5124" max="5124" width="68.85546875" style="6" customWidth="1"/>
    <col min="5125" max="5125" width="19.140625" style="6" customWidth="1"/>
    <col min="5126" max="5126" width="21.140625" style="6" customWidth="1"/>
    <col min="5127" max="5127" width="18.7109375" style="6" customWidth="1"/>
    <col min="5128" max="5128" width="18" style="6" customWidth="1"/>
    <col min="5129" max="5129" width="16.85546875" style="6" customWidth="1"/>
    <col min="5130" max="5130" width="19.5703125" style="6" customWidth="1"/>
    <col min="5131" max="5131" width="19.140625" style="6" customWidth="1"/>
    <col min="5132" max="5132" width="16.7109375" style="6" customWidth="1"/>
    <col min="5133" max="5133" width="15" style="6" customWidth="1"/>
    <col min="5134" max="5134" width="15.7109375" style="6" customWidth="1"/>
    <col min="5135" max="5135" width="17.7109375" style="6" customWidth="1"/>
    <col min="5136" max="5136" width="18.5703125" style="6" customWidth="1"/>
    <col min="5137" max="5137" width="17.7109375" style="6" bestFit="1" customWidth="1"/>
    <col min="5138" max="5138" width="22.140625" style="6" customWidth="1"/>
    <col min="5139" max="5139" width="17.42578125" style="6" bestFit="1" customWidth="1"/>
    <col min="5140" max="5376" width="9.140625" style="6"/>
    <col min="5377" max="5377" width="16.85546875" style="6" customWidth="1"/>
    <col min="5378" max="5378" width="17.140625" style="6" customWidth="1"/>
    <col min="5379" max="5379" width="19.7109375" style="6" customWidth="1"/>
    <col min="5380" max="5380" width="68.85546875" style="6" customWidth="1"/>
    <col min="5381" max="5381" width="19.140625" style="6" customWidth="1"/>
    <col min="5382" max="5382" width="21.140625" style="6" customWidth="1"/>
    <col min="5383" max="5383" width="18.7109375" style="6" customWidth="1"/>
    <col min="5384" max="5384" width="18" style="6" customWidth="1"/>
    <col min="5385" max="5385" width="16.85546875" style="6" customWidth="1"/>
    <col min="5386" max="5386" width="19.5703125" style="6" customWidth="1"/>
    <col min="5387" max="5387" width="19.140625" style="6" customWidth="1"/>
    <col min="5388" max="5388" width="16.7109375" style="6" customWidth="1"/>
    <col min="5389" max="5389" width="15" style="6" customWidth="1"/>
    <col min="5390" max="5390" width="15.7109375" style="6" customWidth="1"/>
    <col min="5391" max="5391" width="17.7109375" style="6" customWidth="1"/>
    <col min="5392" max="5392" width="18.5703125" style="6" customWidth="1"/>
    <col min="5393" max="5393" width="17.7109375" style="6" bestFit="1" customWidth="1"/>
    <col min="5394" max="5394" width="22.140625" style="6" customWidth="1"/>
    <col min="5395" max="5395" width="17.42578125" style="6" bestFit="1" customWidth="1"/>
    <col min="5396" max="5632" width="9.140625" style="6"/>
    <col min="5633" max="5633" width="16.85546875" style="6" customWidth="1"/>
    <col min="5634" max="5634" width="17.140625" style="6" customWidth="1"/>
    <col min="5635" max="5635" width="19.7109375" style="6" customWidth="1"/>
    <col min="5636" max="5636" width="68.85546875" style="6" customWidth="1"/>
    <col min="5637" max="5637" width="19.140625" style="6" customWidth="1"/>
    <col min="5638" max="5638" width="21.140625" style="6" customWidth="1"/>
    <col min="5639" max="5639" width="18.7109375" style="6" customWidth="1"/>
    <col min="5640" max="5640" width="18" style="6" customWidth="1"/>
    <col min="5641" max="5641" width="16.85546875" style="6" customWidth="1"/>
    <col min="5642" max="5642" width="19.5703125" style="6" customWidth="1"/>
    <col min="5643" max="5643" width="19.140625" style="6" customWidth="1"/>
    <col min="5644" max="5644" width="16.7109375" style="6" customWidth="1"/>
    <col min="5645" max="5645" width="15" style="6" customWidth="1"/>
    <col min="5646" max="5646" width="15.7109375" style="6" customWidth="1"/>
    <col min="5647" max="5647" width="17.7109375" style="6" customWidth="1"/>
    <col min="5648" max="5648" width="18.5703125" style="6" customWidth="1"/>
    <col min="5649" max="5649" width="17.7109375" style="6" bestFit="1" customWidth="1"/>
    <col min="5650" max="5650" width="22.140625" style="6" customWidth="1"/>
    <col min="5651" max="5651" width="17.42578125" style="6" bestFit="1" customWidth="1"/>
    <col min="5652" max="5888" width="9.140625" style="6"/>
    <col min="5889" max="5889" width="16.85546875" style="6" customWidth="1"/>
    <col min="5890" max="5890" width="17.140625" style="6" customWidth="1"/>
    <col min="5891" max="5891" width="19.7109375" style="6" customWidth="1"/>
    <col min="5892" max="5892" width="68.85546875" style="6" customWidth="1"/>
    <col min="5893" max="5893" width="19.140625" style="6" customWidth="1"/>
    <col min="5894" max="5894" width="21.140625" style="6" customWidth="1"/>
    <col min="5895" max="5895" width="18.7109375" style="6" customWidth="1"/>
    <col min="5896" max="5896" width="18" style="6" customWidth="1"/>
    <col min="5897" max="5897" width="16.85546875" style="6" customWidth="1"/>
    <col min="5898" max="5898" width="19.5703125" style="6" customWidth="1"/>
    <col min="5899" max="5899" width="19.140625" style="6" customWidth="1"/>
    <col min="5900" max="5900" width="16.7109375" style="6" customWidth="1"/>
    <col min="5901" max="5901" width="15" style="6" customWidth="1"/>
    <col min="5902" max="5902" width="15.7109375" style="6" customWidth="1"/>
    <col min="5903" max="5903" width="17.7109375" style="6" customWidth="1"/>
    <col min="5904" max="5904" width="18.5703125" style="6" customWidth="1"/>
    <col min="5905" max="5905" width="17.7109375" style="6" bestFit="1" customWidth="1"/>
    <col min="5906" max="5906" width="22.140625" style="6" customWidth="1"/>
    <col min="5907" max="5907" width="17.42578125" style="6" bestFit="1" customWidth="1"/>
    <col min="5908" max="6144" width="9.140625" style="6"/>
    <col min="6145" max="6145" width="16.85546875" style="6" customWidth="1"/>
    <col min="6146" max="6146" width="17.140625" style="6" customWidth="1"/>
    <col min="6147" max="6147" width="19.7109375" style="6" customWidth="1"/>
    <col min="6148" max="6148" width="68.85546875" style="6" customWidth="1"/>
    <col min="6149" max="6149" width="19.140625" style="6" customWidth="1"/>
    <col min="6150" max="6150" width="21.140625" style="6" customWidth="1"/>
    <col min="6151" max="6151" width="18.7109375" style="6" customWidth="1"/>
    <col min="6152" max="6152" width="18" style="6" customWidth="1"/>
    <col min="6153" max="6153" width="16.85546875" style="6" customWidth="1"/>
    <col min="6154" max="6154" width="19.5703125" style="6" customWidth="1"/>
    <col min="6155" max="6155" width="19.140625" style="6" customWidth="1"/>
    <col min="6156" max="6156" width="16.7109375" style="6" customWidth="1"/>
    <col min="6157" max="6157" width="15" style="6" customWidth="1"/>
    <col min="6158" max="6158" width="15.7109375" style="6" customWidth="1"/>
    <col min="6159" max="6159" width="17.7109375" style="6" customWidth="1"/>
    <col min="6160" max="6160" width="18.5703125" style="6" customWidth="1"/>
    <col min="6161" max="6161" width="17.7109375" style="6" bestFit="1" customWidth="1"/>
    <col min="6162" max="6162" width="22.140625" style="6" customWidth="1"/>
    <col min="6163" max="6163" width="17.42578125" style="6" bestFit="1" customWidth="1"/>
    <col min="6164" max="6400" width="9.140625" style="6"/>
    <col min="6401" max="6401" width="16.85546875" style="6" customWidth="1"/>
    <col min="6402" max="6402" width="17.140625" style="6" customWidth="1"/>
    <col min="6403" max="6403" width="19.7109375" style="6" customWidth="1"/>
    <col min="6404" max="6404" width="68.85546875" style="6" customWidth="1"/>
    <col min="6405" max="6405" width="19.140625" style="6" customWidth="1"/>
    <col min="6406" max="6406" width="21.140625" style="6" customWidth="1"/>
    <col min="6407" max="6407" width="18.7109375" style="6" customWidth="1"/>
    <col min="6408" max="6408" width="18" style="6" customWidth="1"/>
    <col min="6409" max="6409" width="16.85546875" style="6" customWidth="1"/>
    <col min="6410" max="6410" width="19.5703125" style="6" customWidth="1"/>
    <col min="6411" max="6411" width="19.140625" style="6" customWidth="1"/>
    <col min="6412" max="6412" width="16.7109375" style="6" customWidth="1"/>
    <col min="6413" max="6413" width="15" style="6" customWidth="1"/>
    <col min="6414" max="6414" width="15.7109375" style="6" customWidth="1"/>
    <col min="6415" max="6415" width="17.7109375" style="6" customWidth="1"/>
    <col min="6416" max="6416" width="18.5703125" style="6" customWidth="1"/>
    <col min="6417" max="6417" width="17.7109375" style="6" bestFit="1" customWidth="1"/>
    <col min="6418" max="6418" width="22.140625" style="6" customWidth="1"/>
    <col min="6419" max="6419" width="17.42578125" style="6" bestFit="1" customWidth="1"/>
    <col min="6420" max="6656" width="9.140625" style="6"/>
    <col min="6657" max="6657" width="16.85546875" style="6" customWidth="1"/>
    <col min="6658" max="6658" width="17.140625" style="6" customWidth="1"/>
    <col min="6659" max="6659" width="19.7109375" style="6" customWidth="1"/>
    <col min="6660" max="6660" width="68.85546875" style="6" customWidth="1"/>
    <col min="6661" max="6661" width="19.140625" style="6" customWidth="1"/>
    <col min="6662" max="6662" width="21.140625" style="6" customWidth="1"/>
    <col min="6663" max="6663" width="18.7109375" style="6" customWidth="1"/>
    <col min="6664" max="6664" width="18" style="6" customWidth="1"/>
    <col min="6665" max="6665" width="16.85546875" style="6" customWidth="1"/>
    <col min="6666" max="6666" width="19.5703125" style="6" customWidth="1"/>
    <col min="6667" max="6667" width="19.140625" style="6" customWidth="1"/>
    <col min="6668" max="6668" width="16.7109375" style="6" customWidth="1"/>
    <col min="6669" max="6669" width="15" style="6" customWidth="1"/>
    <col min="6670" max="6670" width="15.7109375" style="6" customWidth="1"/>
    <col min="6671" max="6671" width="17.7109375" style="6" customWidth="1"/>
    <col min="6672" max="6672" width="18.5703125" style="6" customWidth="1"/>
    <col min="6673" max="6673" width="17.7109375" style="6" bestFit="1" customWidth="1"/>
    <col min="6674" max="6674" width="22.140625" style="6" customWidth="1"/>
    <col min="6675" max="6675" width="17.42578125" style="6" bestFit="1" customWidth="1"/>
    <col min="6676" max="6912" width="9.140625" style="6"/>
    <col min="6913" max="6913" width="16.85546875" style="6" customWidth="1"/>
    <col min="6914" max="6914" width="17.140625" style="6" customWidth="1"/>
    <col min="6915" max="6915" width="19.7109375" style="6" customWidth="1"/>
    <col min="6916" max="6916" width="68.85546875" style="6" customWidth="1"/>
    <col min="6917" max="6917" width="19.140625" style="6" customWidth="1"/>
    <col min="6918" max="6918" width="21.140625" style="6" customWidth="1"/>
    <col min="6919" max="6919" width="18.7109375" style="6" customWidth="1"/>
    <col min="6920" max="6920" width="18" style="6" customWidth="1"/>
    <col min="6921" max="6921" width="16.85546875" style="6" customWidth="1"/>
    <col min="6922" max="6922" width="19.5703125" style="6" customWidth="1"/>
    <col min="6923" max="6923" width="19.140625" style="6" customWidth="1"/>
    <col min="6924" max="6924" width="16.7109375" style="6" customWidth="1"/>
    <col min="6925" max="6925" width="15" style="6" customWidth="1"/>
    <col min="6926" max="6926" width="15.7109375" style="6" customWidth="1"/>
    <col min="6927" max="6927" width="17.7109375" style="6" customWidth="1"/>
    <col min="6928" max="6928" width="18.5703125" style="6" customWidth="1"/>
    <col min="6929" max="6929" width="17.7109375" style="6" bestFit="1" customWidth="1"/>
    <col min="6930" max="6930" width="22.140625" style="6" customWidth="1"/>
    <col min="6931" max="6931" width="17.42578125" style="6" bestFit="1" customWidth="1"/>
    <col min="6932" max="7168" width="9.140625" style="6"/>
    <col min="7169" max="7169" width="16.85546875" style="6" customWidth="1"/>
    <col min="7170" max="7170" width="17.140625" style="6" customWidth="1"/>
    <col min="7171" max="7171" width="19.7109375" style="6" customWidth="1"/>
    <col min="7172" max="7172" width="68.85546875" style="6" customWidth="1"/>
    <col min="7173" max="7173" width="19.140625" style="6" customWidth="1"/>
    <col min="7174" max="7174" width="21.140625" style="6" customWidth="1"/>
    <col min="7175" max="7175" width="18.7109375" style="6" customWidth="1"/>
    <col min="7176" max="7176" width="18" style="6" customWidth="1"/>
    <col min="7177" max="7177" width="16.85546875" style="6" customWidth="1"/>
    <col min="7178" max="7178" width="19.5703125" style="6" customWidth="1"/>
    <col min="7179" max="7179" width="19.140625" style="6" customWidth="1"/>
    <col min="7180" max="7180" width="16.7109375" style="6" customWidth="1"/>
    <col min="7181" max="7181" width="15" style="6" customWidth="1"/>
    <col min="7182" max="7182" width="15.7109375" style="6" customWidth="1"/>
    <col min="7183" max="7183" width="17.7109375" style="6" customWidth="1"/>
    <col min="7184" max="7184" width="18.5703125" style="6" customWidth="1"/>
    <col min="7185" max="7185" width="17.7109375" style="6" bestFit="1" customWidth="1"/>
    <col min="7186" max="7186" width="22.140625" style="6" customWidth="1"/>
    <col min="7187" max="7187" width="17.42578125" style="6" bestFit="1" customWidth="1"/>
    <col min="7188" max="7424" width="9.140625" style="6"/>
    <col min="7425" max="7425" width="16.85546875" style="6" customWidth="1"/>
    <col min="7426" max="7426" width="17.140625" style="6" customWidth="1"/>
    <col min="7427" max="7427" width="19.7109375" style="6" customWidth="1"/>
    <col min="7428" max="7428" width="68.85546875" style="6" customWidth="1"/>
    <col min="7429" max="7429" width="19.140625" style="6" customWidth="1"/>
    <col min="7430" max="7430" width="21.140625" style="6" customWidth="1"/>
    <col min="7431" max="7431" width="18.7109375" style="6" customWidth="1"/>
    <col min="7432" max="7432" width="18" style="6" customWidth="1"/>
    <col min="7433" max="7433" width="16.85546875" style="6" customWidth="1"/>
    <col min="7434" max="7434" width="19.5703125" style="6" customWidth="1"/>
    <col min="7435" max="7435" width="19.140625" style="6" customWidth="1"/>
    <col min="7436" max="7436" width="16.7109375" style="6" customWidth="1"/>
    <col min="7437" max="7437" width="15" style="6" customWidth="1"/>
    <col min="7438" max="7438" width="15.7109375" style="6" customWidth="1"/>
    <col min="7439" max="7439" width="17.7109375" style="6" customWidth="1"/>
    <col min="7440" max="7440" width="18.5703125" style="6" customWidth="1"/>
    <col min="7441" max="7441" width="17.7109375" style="6" bestFit="1" customWidth="1"/>
    <col min="7442" max="7442" width="22.140625" style="6" customWidth="1"/>
    <col min="7443" max="7443" width="17.42578125" style="6" bestFit="1" customWidth="1"/>
    <col min="7444" max="7680" width="9.140625" style="6"/>
    <col min="7681" max="7681" width="16.85546875" style="6" customWidth="1"/>
    <col min="7682" max="7682" width="17.140625" style="6" customWidth="1"/>
    <col min="7683" max="7683" width="19.7109375" style="6" customWidth="1"/>
    <col min="7684" max="7684" width="68.85546875" style="6" customWidth="1"/>
    <col min="7685" max="7685" width="19.140625" style="6" customWidth="1"/>
    <col min="7686" max="7686" width="21.140625" style="6" customWidth="1"/>
    <col min="7687" max="7687" width="18.7109375" style="6" customWidth="1"/>
    <col min="7688" max="7688" width="18" style="6" customWidth="1"/>
    <col min="7689" max="7689" width="16.85546875" style="6" customWidth="1"/>
    <col min="7690" max="7690" width="19.5703125" style="6" customWidth="1"/>
    <col min="7691" max="7691" width="19.140625" style="6" customWidth="1"/>
    <col min="7692" max="7692" width="16.7109375" style="6" customWidth="1"/>
    <col min="7693" max="7693" width="15" style="6" customWidth="1"/>
    <col min="7694" max="7694" width="15.7109375" style="6" customWidth="1"/>
    <col min="7695" max="7695" width="17.7109375" style="6" customWidth="1"/>
    <col min="7696" max="7696" width="18.5703125" style="6" customWidth="1"/>
    <col min="7697" max="7697" width="17.7109375" style="6" bestFit="1" customWidth="1"/>
    <col min="7698" max="7698" width="22.140625" style="6" customWidth="1"/>
    <col min="7699" max="7699" width="17.42578125" style="6" bestFit="1" customWidth="1"/>
    <col min="7700" max="7936" width="9.140625" style="6"/>
    <col min="7937" max="7937" width="16.85546875" style="6" customWidth="1"/>
    <col min="7938" max="7938" width="17.140625" style="6" customWidth="1"/>
    <col min="7939" max="7939" width="19.7109375" style="6" customWidth="1"/>
    <col min="7940" max="7940" width="68.85546875" style="6" customWidth="1"/>
    <col min="7941" max="7941" width="19.140625" style="6" customWidth="1"/>
    <col min="7942" max="7942" width="21.140625" style="6" customWidth="1"/>
    <col min="7943" max="7943" width="18.7109375" style="6" customWidth="1"/>
    <col min="7944" max="7944" width="18" style="6" customWidth="1"/>
    <col min="7945" max="7945" width="16.85546875" style="6" customWidth="1"/>
    <col min="7946" max="7946" width="19.5703125" style="6" customWidth="1"/>
    <col min="7947" max="7947" width="19.140625" style="6" customWidth="1"/>
    <col min="7948" max="7948" width="16.7109375" style="6" customWidth="1"/>
    <col min="7949" max="7949" width="15" style="6" customWidth="1"/>
    <col min="7950" max="7950" width="15.7109375" style="6" customWidth="1"/>
    <col min="7951" max="7951" width="17.7109375" style="6" customWidth="1"/>
    <col min="7952" max="7952" width="18.5703125" style="6" customWidth="1"/>
    <col min="7953" max="7953" width="17.7109375" style="6" bestFit="1" customWidth="1"/>
    <col min="7954" max="7954" width="22.140625" style="6" customWidth="1"/>
    <col min="7955" max="7955" width="17.42578125" style="6" bestFit="1" customWidth="1"/>
    <col min="7956" max="8192" width="9.140625" style="6"/>
    <col min="8193" max="8193" width="16.85546875" style="6" customWidth="1"/>
    <col min="8194" max="8194" width="17.140625" style="6" customWidth="1"/>
    <col min="8195" max="8195" width="19.7109375" style="6" customWidth="1"/>
    <col min="8196" max="8196" width="68.85546875" style="6" customWidth="1"/>
    <col min="8197" max="8197" width="19.140625" style="6" customWidth="1"/>
    <col min="8198" max="8198" width="21.140625" style="6" customWidth="1"/>
    <col min="8199" max="8199" width="18.7109375" style="6" customWidth="1"/>
    <col min="8200" max="8200" width="18" style="6" customWidth="1"/>
    <col min="8201" max="8201" width="16.85546875" style="6" customWidth="1"/>
    <col min="8202" max="8202" width="19.5703125" style="6" customWidth="1"/>
    <col min="8203" max="8203" width="19.140625" style="6" customWidth="1"/>
    <col min="8204" max="8204" width="16.7109375" style="6" customWidth="1"/>
    <col min="8205" max="8205" width="15" style="6" customWidth="1"/>
    <col min="8206" max="8206" width="15.7109375" style="6" customWidth="1"/>
    <col min="8207" max="8207" width="17.7109375" style="6" customWidth="1"/>
    <col min="8208" max="8208" width="18.5703125" style="6" customWidth="1"/>
    <col min="8209" max="8209" width="17.7109375" style="6" bestFit="1" customWidth="1"/>
    <col min="8210" max="8210" width="22.140625" style="6" customWidth="1"/>
    <col min="8211" max="8211" width="17.42578125" style="6" bestFit="1" customWidth="1"/>
    <col min="8212" max="8448" width="9.140625" style="6"/>
    <col min="8449" max="8449" width="16.85546875" style="6" customWidth="1"/>
    <col min="8450" max="8450" width="17.140625" style="6" customWidth="1"/>
    <col min="8451" max="8451" width="19.7109375" style="6" customWidth="1"/>
    <col min="8452" max="8452" width="68.85546875" style="6" customWidth="1"/>
    <col min="8453" max="8453" width="19.140625" style="6" customWidth="1"/>
    <col min="8454" max="8454" width="21.140625" style="6" customWidth="1"/>
    <col min="8455" max="8455" width="18.7109375" style="6" customWidth="1"/>
    <col min="8456" max="8456" width="18" style="6" customWidth="1"/>
    <col min="8457" max="8457" width="16.85546875" style="6" customWidth="1"/>
    <col min="8458" max="8458" width="19.5703125" style="6" customWidth="1"/>
    <col min="8459" max="8459" width="19.140625" style="6" customWidth="1"/>
    <col min="8460" max="8460" width="16.7109375" style="6" customWidth="1"/>
    <col min="8461" max="8461" width="15" style="6" customWidth="1"/>
    <col min="8462" max="8462" width="15.7109375" style="6" customWidth="1"/>
    <col min="8463" max="8463" width="17.7109375" style="6" customWidth="1"/>
    <col min="8464" max="8464" width="18.5703125" style="6" customWidth="1"/>
    <col min="8465" max="8465" width="17.7109375" style="6" bestFit="1" customWidth="1"/>
    <col min="8466" max="8466" width="22.140625" style="6" customWidth="1"/>
    <col min="8467" max="8467" width="17.42578125" style="6" bestFit="1" customWidth="1"/>
    <col min="8468" max="8704" width="9.140625" style="6"/>
    <col min="8705" max="8705" width="16.85546875" style="6" customWidth="1"/>
    <col min="8706" max="8706" width="17.140625" style="6" customWidth="1"/>
    <col min="8707" max="8707" width="19.7109375" style="6" customWidth="1"/>
    <col min="8708" max="8708" width="68.85546875" style="6" customWidth="1"/>
    <col min="8709" max="8709" width="19.140625" style="6" customWidth="1"/>
    <col min="8710" max="8710" width="21.140625" style="6" customWidth="1"/>
    <col min="8711" max="8711" width="18.7109375" style="6" customWidth="1"/>
    <col min="8712" max="8712" width="18" style="6" customWidth="1"/>
    <col min="8713" max="8713" width="16.85546875" style="6" customWidth="1"/>
    <col min="8714" max="8714" width="19.5703125" style="6" customWidth="1"/>
    <col min="8715" max="8715" width="19.140625" style="6" customWidth="1"/>
    <col min="8716" max="8716" width="16.7109375" style="6" customWidth="1"/>
    <col min="8717" max="8717" width="15" style="6" customWidth="1"/>
    <col min="8718" max="8718" width="15.7109375" style="6" customWidth="1"/>
    <col min="8719" max="8719" width="17.7109375" style="6" customWidth="1"/>
    <col min="8720" max="8720" width="18.5703125" style="6" customWidth="1"/>
    <col min="8721" max="8721" width="17.7109375" style="6" bestFit="1" customWidth="1"/>
    <col min="8722" max="8722" width="22.140625" style="6" customWidth="1"/>
    <col min="8723" max="8723" width="17.42578125" style="6" bestFit="1" customWidth="1"/>
    <col min="8724" max="8960" width="9.140625" style="6"/>
    <col min="8961" max="8961" width="16.85546875" style="6" customWidth="1"/>
    <col min="8962" max="8962" width="17.140625" style="6" customWidth="1"/>
    <col min="8963" max="8963" width="19.7109375" style="6" customWidth="1"/>
    <col min="8964" max="8964" width="68.85546875" style="6" customWidth="1"/>
    <col min="8965" max="8965" width="19.140625" style="6" customWidth="1"/>
    <col min="8966" max="8966" width="21.140625" style="6" customWidth="1"/>
    <col min="8967" max="8967" width="18.7109375" style="6" customWidth="1"/>
    <col min="8968" max="8968" width="18" style="6" customWidth="1"/>
    <col min="8969" max="8969" width="16.85546875" style="6" customWidth="1"/>
    <col min="8970" max="8970" width="19.5703125" style="6" customWidth="1"/>
    <col min="8971" max="8971" width="19.140625" style="6" customWidth="1"/>
    <col min="8972" max="8972" width="16.7109375" style="6" customWidth="1"/>
    <col min="8973" max="8973" width="15" style="6" customWidth="1"/>
    <col min="8974" max="8974" width="15.7109375" style="6" customWidth="1"/>
    <col min="8975" max="8975" width="17.7109375" style="6" customWidth="1"/>
    <col min="8976" max="8976" width="18.5703125" style="6" customWidth="1"/>
    <col min="8977" max="8977" width="17.7109375" style="6" bestFit="1" customWidth="1"/>
    <col min="8978" max="8978" width="22.140625" style="6" customWidth="1"/>
    <col min="8979" max="8979" width="17.42578125" style="6" bestFit="1" customWidth="1"/>
    <col min="8980" max="9216" width="9.140625" style="6"/>
    <col min="9217" max="9217" width="16.85546875" style="6" customWidth="1"/>
    <col min="9218" max="9218" width="17.140625" style="6" customWidth="1"/>
    <col min="9219" max="9219" width="19.7109375" style="6" customWidth="1"/>
    <col min="9220" max="9220" width="68.85546875" style="6" customWidth="1"/>
    <col min="9221" max="9221" width="19.140625" style="6" customWidth="1"/>
    <col min="9222" max="9222" width="21.140625" style="6" customWidth="1"/>
    <col min="9223" max="9223" width="18.7109375" style="6" customWidth="1"/>
    <col min="9224" max="9224" width="18" style="6" customWidth="1"/>
    <col min="9225" max="9225" width="16.85546875" style="6" customWidth="1"/>
    <col min="9226" max="9226" width="19.5703125" style="6" customWidth="1"/>
    <col min="9227" max="9227" width="19.140625" style="6" customWidth="1"/>
    <col min="9228" max="9228" width="16.7109375" style="6" customWidth="1"/>
    <col min="9229" max="9229" width="15" style="6" customWidth="1"/>
    <col min="9230" max="9230" width="15.7109375" style="6" customWidth="1"/>
    <col min="9231" max="9231" width="17.7109375" style="6" customWidth="1"/>
    <col min="9232" max="9232" width="18.5703125" style="6" customWidth="1"/>
    <col min="9233" max="9233" width="17.7109375" style="6" bestFit="1" customWidth="1"/>
    <col min="9234" max="9234" width="22.140625" style="6" customWidth="1"/>
    <col min="9235" max="9235" width="17.42578125" style="6" bestFit="1" customWidth="1"/>
    <col min="9236" max="9472" width="9.140625" style="6"/>
    <col min="9473" max="9473" width="16.85546875" style="6" customWidth="1"/>
    <col min="9474" max="9474" width="17.140625" style="6" customWidth="1"/>
    <col min="9475" max="9475" width="19.7109375" style="6" customWidth="1"/>
    <col min="9476" max="9476" width="68.85546875" style="6" customWidth="1"/>
    <col min="9477" max="9477" width="19.140625" style="6" customWidth="1"/>
    <col min="9478" max="9478" width="21.140625" style="6" customWidth="1"/>
    <col min="9479" max="9479" width="18.7109375" style="6" customWidth="1"/>
    <col min="9480" max="9480" width="18" style="6" customWidth="1"/>
    <col min="9481" max="9481" width="16.85546875" style="6" customWidth="1"/>
    <col min="9482" max="9482" width="19.5703125" style="6" customWidth="1"/>
    <col min="9483" max="9483" width="19.140625" style="6" customWidth="1"/>
    <col min="9484" max="9484" width="16.7109375" style="6" customWidth="1"/>
    <col min="9485" max="9485" width="15" style="6" customWidth="1"/>
    <col min="9486" max="9486" width="15.7109375" style="6" customWidth="1"/>
    <col min="9487" max="9487" width="17.7109375" style="6" customWidth="1"/>
    <col min="9488" max="9488" width="18.5703125" style="6" customWidth="1"/>
    <col min="9489" max="9489" width="17.7109375" style="6" bestFit="1" customWidth="1"/>
    <col min="9490" max="9490" width="22.140625" style="6" customWidth="1"/>
    <col min="9491" max="9491" width="17.42578125" style="6" bestFit="1" customWidth="1"/>
    <col min="9492" max="9728" width="9.140625" style="6"/>
    <col min="9729" max="9729" width="16.85546875" style="6" customWidth="1"/>
    <col min="9730" max="9730" width="17.140625" style="6" customWidth="1"/>
    <col min="9731" max="9731" width="19.7109375" style="6" customWidth="1"/>
    <col min="9732" max="9732" width="68.85546875" style="6" customWidth="1"/>
    <col min="9733" max="9733" width="19.140625" style="6" customWidth="1"/>
    <col min="9734" max="9734" width="21.140625" style="6" customWidth="1"/>
    <col min="9735" max="9735" width="18.7109375" style="6" customWidth="1"/>
    <col min="9736" max="9736" width="18" style="6" customWidth="1"/>
    <col min="9737" max="9737" width="16.85546875" style="6" customWidth="1"/>
    <col min="9738" max="9738" width="19.5703125" style="6" customWidth="1"/>
    <col min="9739" max="9739" width="19.140625" style="6" customWidth="1"/>
    <col min="9740" max="9740" width="16.7109375" style="6" customWidth="1"/>
    <col min="9741" max="9741" width="15" style="6" customWidth="1"/>
    <col min="9742" max="9742" width="15.7109375" style="6" customWidth="1"/>
    <col min="9743" max="9743" width="17.7109375" style="6" customWidth="1"/>
    <col min="9744" max="9744" width="18.5703125" style="6" customWidth="1"/>
    <col min="9745" max="9745" width="17.7109375" style="6" bestFit="1" customWidth="1"/>
    <col min="9746" max="9746" width="22.140625" style="6" customWidth="1"/>
    <col min="9747" max="9747" width="17.42578125" style="6" bestFit="1" customWidth="1"/>
    <col min="9748" max="9984" width="9.140625" style="6"/>
    <col min="9985" max="9985" width="16.85546875" style="6" customWidth="1"/>
    <col min="9986" max="9986" width="17.140625" style="6" customWidth="1"/>
    <col min="9987" max="9987" width="19.7109375" style="6" customWidth="1"/>
    <col min="9988" max="9988" width="68.85546875" style="6" customWidth="1"/>
    <col min="9989" max="9989" width="19.140625" style="6" customWidth="1"/>
    <col min="9990" max="9990" width="21.140625" style="6" customWidth="1"/>
    <col min="9991" max="9991" width="18.7109375" style="6" customWidth="1"/>
    <col min="9992" max="9992" width="18" style="6" customWidth="1"/>
    <col min="9993" max="9993" width="16.85546875" style="6" customWidth="1"/>
    <col min="9994" max="9994" width="19.5703125" style="6" customWidth="1"/>
    <col min="9995" max="9995" width="19.140625" style="6" customWidth="1"/>
    <col min="9996" max="9996" width="16.7109375" style="6" customWidth="1"/>
    <col min="9997" max="9997" width="15" style="6" customWidth="1"/>
    <col min="9998" max="9998" width="15.7109375" style="6" customWidth="1"/>
    <col min="9999" max="9999" width="17.7109375" style="6" customWidth="1"/>
    <col min="10000" max="10000" width="18.5703125" style="6" customWidth="1"/>
    <col min="10001" max="10001" width="17.7109375" style="6" bestFit="1" customWidth="1"/>
    <col min="10002" max="10002" width="22.140625" style="6" customWidth="1"/>
    <col min="10003" max="10003" width="17.42578125" style="6" bestFit="1" customWidth="1"/>
    <col min="10004" max="10240" width="9.140625" style="6"/>
    <col min="10241" max="10241" width="16.85546875" style="6" customWidth="1"/>
    <col min="10242" max="10242" width="17.140625" style="6" customWidth="1"/>
    <col min="10243" max="10243" width="19.7109375" style="6" customWidth="1"/>
    <col min="10244" max="10244" width="68.85546875" style="6" customWidth="1"/>
    <col min="10245" max="10245" width="19.140625" style="6" customWidth="1"/>
    <col min="10246" max="10246" width="21.140625" style="6" customWidth="1"/>
    <col min="10247" max="10247" width="18.7109375" style="6" customWidth="1"/>
    <col min="10248" max="10248" width="18" style="6" customWidth="1"/>
    <col min="10249" max="10249" width="16.85546875" style="6" customWidth="1"/>
    <col min="10250" max="10250" width="19.5703125" style="6" customWidth="1"/>
    <col min="10251" max="10251" width="19.140625" style="6" customWidth="1"/>
    <col min="10252" max="10252" width="16.7109375" style="6" customWidth="1"/>
    <col min="10253" max="10253" width="15" style="6" customWidth="1"/>
    <col min="10254" max="10254" width="15.7109375" style="6" customWidth="1"/>
    <col min="10255" max="10255" width="17.7109375" style="6" customWidth="1"/>
    <col min="10256" max="10256" width="18.5703125" style="6" customWidth="1"/>
    <col min="10257" max="10257" width="17.7109375" style="6" bestFit="1" customWidth="1"/>
    <col min="10258" max="10258" width="22.140625" style="6" customWidth="1"/>
    <col min="10259" max="10259" width="17.42578125" style="6" bestFit="1" customWidth="1"/>
    <col min="10260" max="10496" width="9.140625" style="6"/>
    <col min="10497" max="10497" width="16.85546875" style="6" customWidth="1"/>
    <col min="10498" max="10498" width="17.140625" style="6" customWidth="1"/>
    <col min="10499" max="10499" width="19.7109375" style="6" customWidth="1"/>
    <col min="10500" max="10500" width="68.85546875" style="6" customWidth="1"/>
    <col min="10501" max="10501" width="19.140625" style="6" customWidth="1"/>
    <col min="10502" max="10502" width="21.140625" style="6" customWidth="1"/>
    <col min="10503" max="10503" width="18.7109375" style="6" customWidth="1"/>
    <col min="10504" max="10504" width="18" style="6" customWidth="1"/>
    <col min="10505" max="10505" width="16.85546875" style="6" customWidth="1"/>
    <col min="10506" max="10506" width="19.5703125" style="6" customWidth="1"/>
    <col min="10507" max="10507" width="19.140625" style="6" customWidth="1"/>
    <col min="10508" max="10508" width="16.7109375" style="6" customWidth="1"/>
    <col min="10509" max="10509" width="15" style="6" customWidth="1"/>
    <col min="10510" max="10510" width="15.7109375" style="6" customWidth="1"/>
    <col min="10511" max="10511" width="17.7109375" style="6" customWidth="1"/>
    <col min="10512" max="10512" width="18.5703125" style="6" customWidth="1"/>
    <col min="10513" max="10513" width="17.7109375" style="6" bestFit="1" customWidth="1"/>
    <col min="10514" max="10514" width="22.140625" style="6" customWidth="1"/>
    <col min="10515" max="10515" width="17.42578125" style="6" bestFit="1" customWidth="1"/>
    <col min="10516" max="10752" width="9.140625" style="6"/>
    <col min="10753" max="10753" width="16.85546875" style="6" customWidth="1"/>
    <col min="10754" max="10754" width="17.140625" style="6" customWidth="1"/>
    <col min="10755" max="10755" width="19.7109375" style="6" customWidth="1"/>
    <col min="10756" max="10756" width="68.85546875" style="6" customWidth="1"/>
    <col min="10757" max="10757" width="19.140625" style="6" customWidth="1"/>
    <col min="10758" max="10758" width="21.140625" style="6" customWidth="1"/>
    <col min="10759" max="10759" width="18.7109375" style="6" customWidth="1"/>
    <col min="10760" max="10760" width="18" style="6" customWidth="1"/>
    <col min="10761" max="10761" width="16.85546875" style="6" customWidth="1"/>
    <col min="10762" max="10762" width="19.5703125" style="6" customWidth="1"/>
    <col min="10763" max="10763" width="19.140625" style="6" customWidth="1"/>
    <col min="10764" max="10764" width="16.7109375" style="6" customWidth="1"/>
    <col min="10765" max="10765" width="15" style="6" customWidth="1"/>
    <col min="10766" max="10766" width="15.7109375" style="6" customWidth="1"/>
    <col min="10767" max="10767" width="17.7109375" style="6" customWidth="1"/>
    <col min="10768" max="10768" width="18.5703125" style="6" customWidth="1"/>
    <col min="10769" max="10769" width="17.7109375" style="6" bestFit="1" customWidth="1"/>
    <col min="10770" max="10770" width="22.140625" style="6" customWidth="1"/>
    <col min="10771" max="10771" width="17.42578125" style="6" bestFit="1" customWidth="1"/>
    <col min="10772" max="11008" width="9.140625" style="6"/>
    <col min="11009" max="11009" width="16.85546875" style="6" customWidth="1"/>
    <col min="11010" max="11010" width="17.140625" style="6" customWidth="1"/>
    <col min="11011" max="11011" width="19.7109375" style="6" customWidth="1"/>
    <col min="11012" max="11012" width="68.85546875" style="6" customWidth="1"/>
    <col min="11013" max="11013" width="19.140625" style="6" customWidth="1"/>
    <col min="11014" max="11014" width="21.140625" style="6" customWidth="1"/>
    <col min="11015" max="11015" width="18.7109375" style="6" customWidth="1"/>
    <col min="11016" max="11016" width="18" style="6" customWidth="1"/>
    <col min="11017" max="11017" width="16.85546875" style="6" customWidth="1"/>
    <col min="11018" max="11018" width="19.5703125" style="6" customWidth="1"/>
    <col min="11019" max="11019" width="19.140625" style="6" customWidth="1"/>
    <col min="11020" max="11020" width="16.7109375" style="6" customWidth="1"/>
    <col min="11021" max="11021" width="15" style="6" customWidth="1"/>
    <col min="11022" max="11022" width="15.7109375" style="6" customWidth="1"/>
    <col min="11023" max="11023" width="17.7109375" style="6" customWidth="1"/>
    <col min="11024" max="11024" width="18.5703125" style="6" customWidth="1"/>
    <col min="11025" max="11025" width="17.7109375" style="6" bestFit="1" customWidth="1"/>
    <col min="11026" max="11026" width="22.140625" style="6" customWidth="1"/>
    <col min="11027" max="11027" width="17.42578125" style="6" bestFit="1" customWidth="1"/>
    <col min="11028" max="11264" width="9.140625" style="6"/>
    <col min="11265" max="11265" width="16.85546875" style="6" customWidth="1"/>
    <col min="11266" max="11266" width="17.140625" style="6" customWidth="1"/>
    <col min="11267" max="11267" width="19.7109375" style="6" customWidth="1"/>
    <col min="11268" max="11268" width="68.85546875" style="6" customWidth="1"/>
    <col min="11269" max="11269" width="19.140625" style="6" customWidth="1"/>
    <col min="11270" max="11270" width="21.140625" style="6" customWidth="1"/>
    <col min="11271" max="11271" width="18.7109375" style="6" customWidth="1"/>
    <col min="11272" max="11272" width="18" style="6" customWidth="1"/>
    <col min="11273" max="11273" width="16.85546875" style="6" customWidth="1"/>
    <col min="11274" max="11274" width="19.5703125" style="6" customWidth="1"/>
    <col min="11275" max="11275" width="19.140625" style="6" customWidth="1"/>
    <col min="11276" max="11276" width="16.7109375" style="6" customWidth="1"/>
    <col min="11277" max="11277" width="15" style="6" customWidth="1"/>
    <col min="11278" max="11278" width="15.7109375" style="6" customWidth="1"/>
    <col min="11279" max="11279" width="17.7109375" style="6" customWidth="1"/>
    <col min="11280" max="11280" width="18.5703125" style="6" customWidth="1"/>
    <col min="11281" max="11281" width="17.7109375" style="6" bestFit="1" customWidth="1"/>
    <col min="11282" max="11282" width="22.140625" style="6" customWidth="1"/>
    <col min="11283" max="11283" width="17.42578125" style="6" bestFit="1" customWidth="1"/>
    <col min="11284" max="11520" width="9.140625" style="6"/>
    <col min="11521" max="11521" width="16.85546875" style="6" customWidth="1"/>
    <col min="11522" max="11522" width="17.140625" style="6" customWidth="1"/>
    <col min="11523" max="11523" width="19.7109375" style="6" customWidth="1"/>
    <col min="11524" max="11524" width="68.85546875" style="6" customWidth="1"/>
    <col min="11525" max="11525" width="19.140625" style="6" customWidth="1"/>
    <col min="11526" max="11526" width="21.140625" style="6" customWidth="1"/>
    <col min="11527" max="11527" width="18.7109375" style="6" customWidth="1"/>
    <col min="11528" max="11528" width="18" style="6" customWidth="1"/>
    <col min="11529" max="11529" width="16.85546875" style="6" customWidth="1"/>
    <col min="11530" max="11530" width="19.5703125" style="6" customWidth="1"/>
    <col min="11531" max="11531" width="19.140625" style="6" customWidth="1"/>
    <col min="11532" max="11532" width="16.7109375" style="6" customWidth="1"/>
    <col min="11533" max="11533" width="15" style="6" customWidth="1"/>
    <col min="11534" max="11534" width="15.7109375" style="6" customWidth="1"/>
    <col min="11535" max="11535" width="17.7109375" style="6" customWidth="1"/>
    <col min="11536" max="11536" width="18.5703125" style="6" customWidth="1"/>
    <col min="11537" max="11537" width="17.7109375" style="6" bestFit="1" customWidth="1"/>
    <col min="11538" max="11538" width="22.140625" style="6" customWidth="1"/>
    <col min="11539" max="11539" width="17.42578125" style="6" bestFit="1" customWidth="1"/>
    <col min="11540" max="11776" width="9.140625" style="6"/>
    <col min="11777" max="11777" width="16.85546875" style="6" customWidth="1"/>
    <col min="11778" max="11778" width="17.140625" style="6" customWidth="1"/>
    <col min="11779" max="11779" width="19.7109375" style="6" customWidth="1"/>
    <col min="11780" max="11780" width="68.85546875" style="6" customWidth="1"/>
    <col min="11781" max="11781" width="19.140625" style="6" customWidth="1"/>
    <col min="11782" max="11782" width="21.140625" style="6" customWidth="1"/>
    <col min="11783" max="11783" width="18.7109375" style="6" customWidth="1"/>
    <col min="11784" max="11784" width="18" style="6" customWidth="1"/>
    <col min="11785" max="11785" width="16.85546875" style="6" customWidth="1"/>
    <col min="11786" max="11786" width="19.5703125" style="6" customWidth="1"/>
    <col min="11787" max="11787" width="19.140625" style="6" customWidth="1"/>
    <col min="11788" max="11788" width="16.7109375" style="6" customWidth="1"/>
    <col min="11789" max="11789" width="15" style="6" customWidth="1"/>
    <col min="11790" max="11790" width="15.7109375" style="6" customWidth="1"/>
    <col min="11791" max="11791" width="17.7109375" style="6" customWidth="1"/>
    <col min="11792" max="11792" width="18.5703125" style="6" customWidth="1"/>
    <col min="11793" max="11793" width="17.7109375" style="6" bestFit="1" customWidth="1"/>
    <col min="11794" max="11794" width="22.140625" style="6" customWidth="1"/>
    <col min="11795" max="11795" width="17.42578125" style="6" bestFit="1" customWidth="1"/>
    <col min="11796" max="12032" width="9.140625" style="6"/>
    <col min="12033" max="12033" width="16.85546875" style="6" customWidth="1"/>
    <col min="12034" max="12034" width="17.140625" style="6" customWidth="1"/>
    <col min="12035" max="12035" width="19.7109375" style="6" customWidth="1"/>
    <col min="12036" max="12036" width="68.85546875" style="6" customWidth="1"/>
    <col min="12037" max="12037" width="19.140625" style="6" customWidth="1"/>
    <col min="12038" max="12038" width="21.140625" style="6" customWidth="1"/>
    <col min="12039" max="12039" width="18.7109375" style="6" customWidth="1"/>
    <col min="12040" max="12040" width="18" style="6" customWidth="1"/>
    <col min="12041" max="12041" width="16.85546875" style="6" customWidth="1"/>
    <col min="12042" max="12042" width="19.5703125" style="6" customWidth="1"/>
    <col min="12043" max="12043" width="19.140625" style="6" customWidth="1"/>
    <col min="12044" max="12044" width="16.7109375" style="6" customWidth="1"/>
    <col min="12045" max="12045" width="15" style="6" customWidth="1"/>
    <col min="12046" max="12046" width="15.7109375" style="6" customWidth="1"/>
    <col min="12047" max="12047" width="17.7109375" style="6" customWidth="1"/>
    <col min="12048" max="12048" width="18.5703125" style="6" customWidth="1"/>
    <col min="12049" max="12049" width="17.7109375" style="6" bestFit="1" customWidth="1"/>
    <col min="12050" max="12050" width="22.140625" style="6" customWidth="1"/>
    <col min="12051" max="12051" width="17.42578125" style="6" bestFit="1" customWidth="1"/>
    <col min="12052" max="12288" width="9.140625" style="6"/>
    <col min="12289" max="12289" width="16.85546875" style="6" customWidth="1"/>
    <col min="12290" max="12290" width="17.140625" style="6" customWidth="1"/>
    <col min="12291" max="12291" width="19.7109375" style="6" customWidth="1"/>
    <col min="12292" max="12292" width="68.85546875" style="6" customWidth="1"/>
    <col min="12293" max="12293" width="19.140625" style="6" customWidth="1"/>
    <col min="12294" max="12294" width="21.140625" style="6" customWidth="1"/>
    <col min="12295" max="12295" width="18.7109375" style="6" customWidth="1"/>
    <col min="12296" max="12296" width="18" style="6" customWidth="1"/>
    <col min="12297" max="12297" width="16.85546875" style="6" customWidth="1"/>
    <col min="12298" max="12298" width="19.5703125" style="6" customWidth="1"/>
    <col min="12299" max="12299" width="19.140625" style="6" customWidth="1"/>
    <col min="12300" max="12300" width="16.7109375" style="6" customWidth="1"/>
    <col min="12301" max="12301" width="15" style="6" customWidth="1"/>
    <col min="12302" max="12302" width="15.7109375" style="6" customWidth="1"/>
    <col min="12303" max="12303" width="17.7109375" style="6" customWidth="1"/>
    <col min="12304" max="12304" width="18.5703125" style="6" customWidth="1"/>
    <col min="12305" max="12305" width="17.7109375" style="6" bestFit="1" customWidth="1"/>
    <col min="12306" max="12306" width="22.140625" style="6" customWidth="1"/>
    <col min="12307" max="12307" width="17.42578125" style="6" bestFit="1" customWidth="1"/>
    <col min="12308" max="12544" width="9.140625" style="6"/>
    <col min="12545" max="12545" width="16.85546875" style="6" customWidth="1"/>
    <col min="12546" max="12546" width="17.140625" style="6" customWidth="1"/>
    <col min="12547" max="12547" width="19.7109375" style="6" customWidth="1"/>
    <col min="12548" max="12548" width="68.85546875" style="6" customWidth="1"/>
    <col min="12549" max="12549" width="19.140625" style="6" customWidth="1"/>
    <col min="12550" max="12550" width="21.140625" style="6" customWidth="1"/>
    <col min="12551" max="12551" width="18.7109375" style="6" customWidth="1"/>
    <col min="12552" max="12552" width="18" style="6" customWidth="1"/>
    <col min="12553" max="12553" width="16.85546875" style="6" customWidth="1"/>
    <col min="12554" max="12554" width="19.5703125" style="6" customWidth="1"/>
    <col min="12555" max="12555" width="19.140625" style="6" customWidth="1"/>
    <col min="12556" max="12556" width="16.7109375" style="6" customWidth="1"/>
    <col min="12557" max="12557" width="15" style="6" customWidth="1"/>
    <col min="12558" max="12558" width="15.7109375" style="6" customWidth="1"/>
    <col min="12559" max="12559" width="17.7109375" style="6" customWidth="1"/>
    <col min="12560" max="12560" width="18.5703125" style="6" customWidth="1"/>
    <col min="12561" max="12561" width="17.7109375" style="6" bestFit="1" customWidth="1"/>
    <col min="12562" max="12562" width="22.140625" style="6" customWidth="1"/>
    <col min="12563" max="12563" width="17.42578125" style="6" bestFit="1" customWidth="1"/>
    <col min="12564" max="12800" width="9.140625" style="6"/>
    <col min="12801" max="12801" width="16.85546875" style="6" customWidth="1"/>
    <col min="12802" max="12802" width="17.140625" style="6" customWidth="1"/>
    <col min="12803" max="12803" width="19.7109375" style="6" customWidth="1"/>
    <col min="12804" max="12804" width="68.85546875" style="6" customWidth="1"/>
    <col min="12805" max="12805" width="19.140625" style="6" customWidth="1"/>
    <col min="12806" max="12806" width="21.140625" style="6" customWidth="1"/>
    <col min="12807" max="12807" width="18.7109375" style="6" customWidth="1"/>
    <col min="12808" max="12808" width="18" style="6" customWidth="1"/>
    <col min="12809" max="12809" width="16.85546875" style="6" customWidth="1"/>
    <col min="12810" max="12810" width="19.5703125" style="6" customWidth="1"/>
    <col min="12811" max="12811" width="19.140625" style="6" customWidth="1"/>
    <col min="12812" max="12812" width="16.7109375" style="6" customWidth="1"/>
    <col min="12813" max="12813" width="15" style="6" customWidth="1"/>
    <col min="12814" max="12814" width="15.7109375" style="6" customWidth="1"/>
    <col min="12815" max="12815" width="17.7109375" style="6" customWidth="1"/>
    <col min="12816" max="12816" width="18.5703125" style="6" customWidth="1"/>
    <col min="12817" max="12817" width="17.7109375" style="6" bestFit="1" customWidth="1"/>
    <col min="12818" max="12818" width="22.140625" style="6" customWidth="1"/>
    <col min="12819" max="12819" width="17.42578125" style="6" bestFit="1" customWidth="1"/>
    <col min="12820" max="13056" width="9.140625" style="6"/>
    <col min="13057" max="13057" width="16.85546875" style="6" customWidth="1"/>
    <col min="13058" max="13058" width="17.140625" style="6" customWidth="1"/>
    <col min="13059" max="13059" width="19.7109375" style="6" customWidth="1"/>
    <col min="13060" max="13060" width="68.85546875" style="6" customWidth="1"/>
    <col min="13061" max="13061" width="19.140625" style="6" customWidth="1"/>
    <col min="13062" max="13062" width="21.140625" style="6" customWidth="1"/>
    <col min="13063" max="13063" width="18.7109375" style="6" customWidth="1"/>
    <col min="13064" max="13064" width="18" style="6" customWidth="1"/>
    <col min="13065" max="13065" width="16.85546875" style="6" customWidth="1"/>
    <col min="13066" max="13066" width="19.5703125" style="6" customWidth="1"/>
    <col min="13067" max="13067" width="19.140625" style="6" customWidth="1"/>
    <col min="13068" max="13068" width="16.7109375" style="6" customWidth="1"/>
    <col min="13069" max="13069" width="15" style="6" customWidth="1"/>
    <col min="13070" max="13070" width="15.7109375" style="6" customWidth="1"/>
    <col min="13071" max="13071" width="17.7109375" style="6" customWidth="1"/>
    <col min="13072" max="13072" width="18.5703125" style="6" customWidth="1"/>
    <col min="13073" max="13073" width="17.7109375" style="6" bestFit="1" customWidth="1"/>
    <col min="13074" max="13074" width="22.140625" style="6" customWidth="1"/>
    <col min="13075" max="13075" width="17.42578125" style="6" bestFit="1" customWidth="1"/>
    <col min="13076" max="13312" width="9.140625" style="6"/>
    <col min="13313" max="13313" width="16.85546875" style="6" customWidth="1"/>
    <col min="13314" max="13314" width="17.140625" style="6" customWidth="1"/>
    <col min="13315" max="13315" width="19.7109375" style="6" customWidth="1"/>
    <col min="13316" max="13316" width="68.85546875" style="6" customWidth="1"/>
    <col min="13317" max="13317" width="19.140625" style="6" customWidth="1"/>
    <col min="13318" max="13318" width="21.140625" style="6" customWidth="1"/>
    <col min="13319" max="13319" width="18.7109375" style="6" customWidth="1"/>
    <col min="13320" max="13320" width="18" style="6" customWidth="1"/>
    <col min="13321" max="13321" width="16.85546875" style="6" customWidth="1"/>
    <col min="13322" max="13322" width="19.5703125" style="6" customWidth="1"/>
    <col min="13323" max="13323" width="19.140625" style="6" customWidth="1"/>
    <col min="13324" max="13324" width="16.7109375" style="6" customWidth="1"/>
    <col min="13325" max="13325" width="15" style="6" customWidth="1"/>
    <col min="13326" max="13326" width="15.7109375" style="6" customWidth="1"/>
    <col min="13327" max="13327" width="17.7109375" style="6" customWidth="1"/>
    <col min="13328" max="13328" width="18.5703125" style="6" customWidth="1"/>
    <col min="13329" max="13329" width="17.7109375" style="6" bestFit="1" customWidth="1"/>
    <col min="13330" max="13330" width="22.140625" style="6" customWidth="1"/>
    <col min="13331" max="13331" width="17.42578125" style="6" bestFit="1" customWidth="1"/>
    <col min="13332" max="13568" width="9.140625" style="6"/>
    <col min="13569" max="13569" width="16.85546875" style="6" customWidth="1"/>
    <col min="13570" max="13570" width="17.140625" style="6" customWidth="1"/>
    <col min="13571" max="13571" width="19.7109375" style="6" customWidth="1"/>
    <col min="13572" max="13572" width="68.85546875" style="6" customWidth="1"/>
    <col min="13573" max="13573" width="19.140625" style="6" customWidth="1"/>
    <col min="13574" max="13574" width="21.140625" style="6" customWidth="1"/>
    <col min="13575" max="13575" width="18.7109375" style="6" customWidth="1"/>
    <col min="13576" max="13576" width="18" style="6" customWidth="1"/>
    <col min="13577" max="13577" width="16.85546875" style="6" customWidth="1"/>
    <col min="13578" max="13578" width="19.5703125" style="6" customWidth="1"/>
    <col min="13579" max="13579" width="19.140625" style="6" customWidth="1"/>
    <col min="13580" max="13580" width="16.7109375" style="6" customWidth="1"/>
    <col min="13581" max="13581" width="15" style="6" customWidth="1"/>
    <col min="13582" max="13582" width="15.7109375" style="6" customWidth="1"/>
    <col min="13583" max="13583" width="17.7109375" style="6" customWidth="1"/>
    <col min="13584" max="13584" width="18.5703125" style="6" customWidth="1"/>
    <col min="13585" max="13585" width="17.7109375" style="6" bestFit="1" customWidth="1"/>
    <col min="13586" max="13586" width="22.140625" style="6" customWidth="1"/>
    <col min="13587" max="13587" width="17.42578125" style="6" bestFit="1" customWidth="1"/>
    <col min="13588" max="13824" width="9.140625" style="6"/>
    <col min="13825" max="13825" width="16.85546875" style="6" customWidth="1"/>
    <col min="13826" max="13826" width="17.140625" style="6" customWidth="1"/>
    <col min="13827" max="13827" width="19.7109375" style="6" customWidth="1"/>
    <col min="13828" max="13828" width="68.85546875" style="6" customWidth="1"/>
    <col min="13829" max="13829" width="19.140625" style="6" customWidth="1"/>
    <col min="13830" max="13830" width="21.140625" style="6" customWidth="1"/>
    <col min="13831" max="13831" width="18.7109375" style="6" customWidth="1"/>
    <col min="13832" max="13832" width="18" style="6" customWidth="1"/>
    <col min="13833" max="13833" width="16.85546875" style="6" customWidth="1"/>
    <col min="13834" max="13834" width="19.5703125" style="6" customWidth="1"/>
    <col min="13835" max="13835" width="19.140625" style="6" customWidth="1"/>
    <col min="13836" max="13836" width="16.7109375" style="6" customWidth="1"/>
    <col min="13837" max="13837" width="15" style="6" customWidth="1"/>
    <col min="13838" max="13838" width="15.7109375" style="6" customWidth="1"/>
    <col min="13839" max="13839" width="17.7109375" style="6" customWidth="1"/>
    <col min="13840" max="13840" width="18.5703125" style="6" customWidth="1"/>
    <col min="13841" max="13841" width="17.7109375" style="6" bestFit="1" customWidth="1"/>
    <col min="13842" max="13842" width="22.140625" style="6" customWidth="1"/>
    <col min="13843" max="13843" width="17.42578125" style="6" bestFit="1" customWidth="1"/>
    <col min="13844" max="14080" width="9.140625" style="6"/>
    <col min="14081" max="14081" width="16.85546875" style="6" customWidth="1"/>
    <col min="14082" max="14082" width="17.140625" style="6" customWidth="1"/>
    <col min="14083" max="14083" width="19.7109375" style="6" customWidth="1"/>
    <col min="14084" max="14084" width="68.85546875" style="6" customWidth="1"/>
    <col min="14085" max="14085" width="19.140625" style="6" customWidth="1"/>
    <col min="14086" max="14086" width="21.140625" style="6" customWidth="1"/>
    <col min="14087" max="14087" width="18.7109375" style="6" customWidth="1"/>
    <col min="14088" max="14088" width="18" style="6" customWidth="1"/>
    <col min="14089" max="14089" width="16.85546875" style="6" customWidth="1"/>
    <col min="14090" max="14090" width="19.5703125" style="6" customWidth="1"/>
    <col min="14091" max="14091" width="19.140625" style="6" customWidth="1"/>
    <col min="14092" max="14092" width="16.7109375" style="6" customWidth="1"/>
    <col min="14093" max="14093" width="15" style="6" customWidth="1"/>
    <col min="14094" max="14094" width="15.7109375" style="6" customWidth="1"/>
    <col min="14095" max="14095" width="17.7109375" style="6" customWidth="1"/>
    <col min="14096" max="14096" width="18.5703125" style="6" customWidth="1"/>
    <col min="14097" max="14097" width="17.7109375" style="6" bestFit="1" customWidth="1"/>
    <col min="14098" max="14098" width="22.140625" style="6" customWidth="1"/>
    <col min="14099" max="14099" width="17.42578125" style="6" bestFit="1" customWidth="1"/>
    <col min="14100" max="14336" width="9.140625" style="6"/>
    <col min="14337" max="14337" width="16.85546875" style="6" customWidth="1"/>
    <col min="14338" max="14338" width="17.140625" style="6" customWidth="1"/>
    <col min="14339" max="14339" width="19.7109375" style="6" customWidth="1"/>
    <col min="14340" max="14340" width="68.85546875" style="6" customWidth="1"/>
    <col min="14341" max="14341" width="19.140625" style="6" customWidth="1"/>
    <col min="14342" max="14342" width="21.140625" style="6" customWidth="1"/>
    <col min="14343" max="14343" width="18.7109375" style="6" customWidth="1"/>
    <col min="14344" max="14344" width="18" style="6" customWidth="1"/>
    <col min="14345" max="14345" width="16.85546875" style="6" customWidth="1"/>
    <col min="14346" max="14346" width="19.5703125" style="6" customWidth="1"/>
    <col min="14347" max="14347" width="19.140625" style="6" customWidth="1"/>
    <col min="14348" max="14348" width="16.7109375" style="6" customWidth="1"/>
    <col min="14349" max="14349" width="15" style="6" customWidth="1"/>
    <col min="14350" max="14350" width="15.7109375" style="6" customWidth="1"/>
    <col min="14351" max="14351" width="17.7109375" style="6" customWidth="1"/>
    <col min="14352" max="14352" width="18.5703125" style="6" customWidth="1"/>
    <col min="14353" max="14353" width="17.7109375" style="6" bestFit="1" customWidth="1"/>
    <col min="14354" max="14354" width="22.140625" style="6" customWidth="1"/>
    <col min="14355" max="14355" width="17.42578125" style="6" bestFit="1" customWidth="1"/>
    <col min="14356" max="14592" width="9.140625" style="6"/>
    <col min="14593" max="14593" width="16.85546875" style="6" customWidth="1"/>
    <col min="14594" max="14594" width="17.140625" style="6" customWidth="1"/>
    <col min="14595" max="14595" width="19.7109375" style="6" customWidth="1"/>
    <col min="14596" max="14596" width="68.85546875" style="6" customWidth="1"/>
    <col min="14597" max="14597" width="19.140625" style="6" customWidth="1"/>
    <col min="14598" max="14598" width="21.140625" style="6" customWidth="1"/>
    <col min="14599" max="14599" width="18.7109375" style="6" customWidth="1"/>
    <col min="14600" max="14600" width="18" style="6" customWidth="1"/>
    <col min="14601" max="14601" width="16.85546875" style="6" customWidth="1"/>
    <col min="14602" max="14602" width="19.5703125" style="6" customWidth="1"/>
    <col min="14603" max="14603" width="19.140625" style="6" customWidth="1"/>
    <col min="14604" max="14604" width="16.7109375" style="6" customWidth="1"/>
    <col min="14605" max="14605" width="15" style="6" customWidth="1"/>
    <col min="14606" max="14606" width="15.7109375" style="6" customWidth="1"/>
    <col min="14607" max="14607" width="17.7109375" style="6" customWidth="1"/>
    <col min="14608" max="14608" width="18.5703125" style="6" customWidth="1"/>
    <col min="14609" max="14609" width="17.7109375" style="6" bestFit="1" customWidth="1"/>
    <col min="14610" max="14610" width="22.140625" style="6" customWidth="1"/>
    <col min="14611" max="14611" width="17.42578125" style="6" bestFit="1" customWidth="1"/>
    <col min="14612" max="14848" width="9.140625" style="6"/>
    <col min="14849" max="14849" width="16.85546875" style="6" customWidth="1"/>
    <col min="14850" max="14850" width="17.140625" style="6" customWidth="1"/>
    <col min="14851" max="14851" width="19.7109375" style="6" customWidth="1"/>
    <col min="14852" max="14852" width="68.85546875" style="6" customWidth="1"/>
    <col min="14853" max="14853" width="19.140625" style="6" customWidth="1"/>
    <col min="14854" max="14854" width="21.140625" style="6" customWidth="1"/>
    <col min="14855" max="14855" width="18.7109375" style="6" customWidth="1"/>
    <col min="14856" max="14856" width="18" style="6" customWidth="1"/>
    <col min="14857" max="14857" width="16.85546875" style="6" customWidth="1"/>
    <col min="14858" max="14858" width="19.5703125" style="6" customWidth="1"/>
    <col min="14859" max="14859" width="19.140625" style="6" customWidth="1"/>
    <col min="14860" max="14860" width="16.7109375" style="6" customWidth="1"/>
    <col min="14861" max="14861" width="15" style="6" customWidth="1"/>
    <col min="14862" max="14862" width="15.7109375" style="6" customWidth="1"/>
    <col min="14863" max="14863" width="17.7109375" style="6" customWidth="1"/>
    <col min="14864" max="14864" width="18.5703125" style="6" customWidth="1"/>
    <col min="14865" max="14865" width="17.7109375" style="6" bestFit="1" customWidth="1"/>
    <col min="14866" max="14866" width="22.140625" style="6" customWidth="1"/>
    <col min="14867" max="14867" width="17.42578125" style="6" bestFit="1" customWidth="1"/>
    <col min="14868" max="15104" width="9.140625" style="6"/>
    <col min="15105" max="15105" width="16.85546875" style="6" customWidth="1"/>
    <col min="15106" max="15106" width="17.140625" style="6" customWidth="1"/>
    <col min="15107" max="15107" width="19.7109375" style="6" customWidth="1"/>
    <col min="15108" max="15108" width="68.85546875" style="6" customWidth="1"/>
    <col min="15109" max="15109" width="19.140625" style="6" customWidth="1"/>
    <col min="15110" max="15110" width="21.140625" style="6" customWidth="1"/>
    <col min="15111" max="15111" width="18.7109375" style="6" customWidth="1"/>
    <col min="15112" max="15112" width="18" style="6" customWidth="1"/>
    <col min="15113" max="15113" width="16.85546875" style="6" customWidth="1"/>
    <col min="15114" max="15114" width="19.5703125" style="6" customWidth="1"/>
    <col min="15115" max="15115" width="19.140625" style="6" customWidth="1"/>
    <col min="15116" max="15116" width="16.7109375" style="6" customWidth="1"/>
    <col min="15117" max="15117" width="15" style="6" customWidth="1"/>
    <col min="15118" max="15118" width="15.7109375" style="6" customWidth="1"/>
    <col min="15119" max="15119" width="17.7109375" style="6" customWidth="1"/>
    <col min="15120" max="15120" width="18.5703125" style="6" customWidth="1"/>
    <col min="15121" max="15121" width="17.7109375" style="6" bestFit="1" customWidth="1"/>
    <col min="15122" max="15122" width="22.140625" style="6" customWidth="1"/>
    <col min="15123" max="15123" width="17.42578125" style="6" bestFit="1" customWidth="1"/>
    <col min="15124" max="15360" width="9.140625" style="6"/>
    <col min="15361" max="15361" width="16.85546875" style="6" customWidth="1"/>
    <col min="15362" max="15362" width="17.140625" style="6" customWidth="1"/>
    <col min="15363" max="15363" width="19.7109375" style="6" customWidth="1"/>
    <col min="15364" max="15364" width="68.85546875" style="6" customWidth="1"/>
    <col min="15365" max="15365" width="19.140625" style="6" customWidth="1"/>
    <col min="15366" max="15366" width="21.140625" style="6" customWidth="1"/>
    <col min="15367" max="15367" width="18.7109375" style="6" customWidth="1"/>
    <col min="15368" max="15368" width="18" style="6" customWidth="1"/>
    <col min="15369" max="15369" width="16.85546875" style="6" customWidth="1"/>
    <col min="15370" max="15370" width="19.5703125" style="6" customWidth="1"/>
    <col min="15371" max="15371" width="19.140625" style="6" customWidth="1"/>
    <col min="15372" max="15372" width="16.7109375" style="6" customWidth="1"/>
    <col min="15373" max="15373" width="15" style="6" customWidth="1"/>
    <col min="15374" max="15374" width="15.7109375" style="6" customWidth="1"/>
    <col min="15375" max="15375" width="17.7109375" style="6" customWidth="1"/>
    <col min="15376" max="15376" width="18.5703125" style="6" customWidth="1"/>
    <col min="15377" max="15377" width="17.7109375" style="6" bestFit="1" customWidth="1"/>
    <col min="15378" max="15378" width="22.140625" style="6" customWidth="1"/>
    <col min="15379" max="15379" width="17.42578125" style="6" bestFit="1" customWidth="1"/>
    <col min="15380" max="15616" width="9.140625" style="6"/>
    <col min="15617" max="15617" width="16.85546875" style="6" customWidth="1"/>
    <col min="15618" max="15618" width="17.140625" style="6" customWidth="1"/>
    <col min="15619" max="15619" width="19.7109375" style="6" customWidth="1"/>
    <col min="15620" max="15620" width="68.85546875" style="6" customWidth="1"/>
    <col min="15621" max="15621" width="19.140625" style="6" customWidth="1"/>
    <col min="15622" max="15622" width="21.140625" style="6" customWidth="1"/>
    <col min="15623" max="15623" width="18.7109375" style="6" customWidth="1"/>
    <col min="15624" max="15624" width="18" style="6" customWidth="1"/>
    <col min="15625" max="15625" width="16.85546875" style="6" customWidth="1"/>
    <col min="15626" max="15626" width="19.5703125" style="6" customWidth="1"/>
    <col min="15627" max="15627" width="19.140625" style="6" customWidth="1"/>
    <col min="15628" max="15628" width="16.7109375" style="6" customWidth="1"/>
    <col min="15629" max="15629" width="15" style="6" customWidth="1"/>
    <col min="15630" max="15630" width="15.7109375" style="6" customWidth="1"/>
    <col min="15631" max="15631" width="17.7109375" style="6" customWidth="1"/>
    <col min="15632" max="15632" width="18.5703125" style="6" customWidth="1"/>
    <col min="15633" max="15633" width="17.7109375" style="6" bestFit="1" customWidth="1"/>
    <col min="15634" max="15634" width="22.140625" style="6" customWidth="1"/>
    <col min="15635" max="15635" width="17.42578125" style="6" bestFit="1" customWidth="1"/>
    <col min="15636" max="15872" width="9.140625" style="6"/>
    <col min="15873" max="15873" width="16.85546875" style="6" customWidth="1"/>
    <col min="15874" max="15874" width="17.140625" style="6" customWidth="1"/>
    <col min="15875" max="15875" width="19.7109375" style="6" customWidth="1"/>
    <col min="15876" max="15876" width="68.85546875" style="6" customWidth="1"/>
    <col min="15877" max="15877" width="19.140625" style="6" customWidth="1"/>
    <col min="15878" max="15878" width="21.140625" style="6" customWidth="1"/>
    <col min="15879" max="15879" width="18.7109375" style="6" customWidth="1"/>
    <col min="15880" max="15880" width="18" style="6" customWidth="1"/>
    <col min="15881" max="15881" width="16.85546875" style="6" customWidth="1"/>
    <col min="15882" max="15882" width="19.5703125" style="6" customWidth="1"/>
    <col min="15883" max="15883" width="19.140625" style="6" customWidth="1"/>
    <col min="15884" max="15884" width="16.7109375" style="6" customWidth="1"/>
    <col min="15885" max="15885" width="15" style="6" customWidth="1"/>
    <col min="15886" max="15886" width="15.7109375" style="6" customWidth="1"/>
    <col min="15887" max="15887" width="17.7109375" style="6" customWidth="1"/>
    <col min="15888" max="15888" width="18.5703125" style="6" customWidth="1"/>
    <col min="15889" max="15889" width="17.7109375" style="6" bestFit="1" customWidth="1"/>
    <col min="15890" max="15890" width="22.140625" style="6" customWidth="1"/>
    <col min="15891" max="15891" width="17.42578125" style="6" bestFit="1" customWidth="1"/>
    <col min="15892" max="16128" width="9.140625" style="6"/>
    <col min="16129" max="16129" width="16.85546875" style="6" customWidth="1"/>
    <col min="16130" max="16130" width="17.140625" style="6" customWidth="1"/>
    <col min="16131" max="16131" width="19.7109375" style="6" customWidth="1"/>
    <col min="16132" max="16132" width="68.85546875" style="6" customWidth="1"/>
    <col min="16133" max="16133" width="19.140625" style="6" customWidth="1"/>
    <col min="16134" max="16134" width="21.140625" style="6" customWidth="1"/>
    <col min="16135" max="16135" width="18.7109375" style="6" customWidth="1"/>
    <col min="16136" max="16136" width="18" style="6" customWidth="1"/>
    <col min="16137" max="16137" width="16.85546875" style="6" customWidth="1"/>
    <col min="16138" max="16138" width="19.5703125" style="6" customWidth="1"/>
    <col min="16139" max="16139" width="19.140625" style="6" customWidth="1"/>
    <col min="16140" max="16140" width="16.7109375" style="6" customWidth="1"/>
    <col min="16141" max="16141" width="15" style="6" customWidth="1"/>
    <col min="16142" max="16142" width="15.7109375" style="6" customWidth="1"/>
    <col min="16143" max="16143" width="17.7109375" style="6" customWidth="1"/>
    <col min="16144" max="16144" width="18.5703125" style="6" customWidth="1"/>
    <col min="16145" max="16145" width="17.7109375" style="6" bestFit="1" customWidth="1"/>
    <col min="16146" max="16146" width="22.140625" style="6" customWidth="1"/>
    <col min="16147" max="16147" width="17.42578125" style="6" bestFit="1" customWidth="1"/>
    <col min="16148" max="16384" width="9.140625" style="6"/>
  </cols>
  <sheetData>
    <row r="1" spans="1:19" ht="84" customHeight="1" x14ac:dyDescent="0.25">
      <c r="K1" s="602" t="s">
        <v>722</v>
      </c>
      <c r="L1" s="602"/>
      <c r="M1" s="602"/>
      <c r="N1" s="602"/>
      <c r="O1" s="602"/>
      <c r="P1" s="602"/>
    </row>
    <row r="2" spans="1:19" ht="19.5" customHeight="1" x14ac:dyDescent="0.25">
      <c r="L2" s="602" t="s">
        <v>126</v>
      </c>
      <c r="M2" s="602"/>
      <c r="N2" s="602"/>
      <c r="O2" s="602"/>
      <c r="P2" s="602"/>
    </row>
    <row r="3" spans="1:19" ht="21.75" customHeight="1" x14ac:dyDescent="0.25">
      <c r="A3" s="603" t="s">
        <v>127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</row>
    <row r="4" spans="1:19" ht="39" customHeight="1" x14ac:dyDescent="0.25">
      <c r="A4" s="604" t="s">
        <v>128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</row>
    <row r="5" spans="1:19" ht="24" customHeight="1" x14ac:dyDescent="0.25">
      <c r="A5" s="125"/>
      <c r="B5" s="125"/>
      <c r="C5" s="125"/>
      <c r="D5" s="605" t="s">
        <v>3</v>
      </c>
      <c r="E5" s="60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9" x14ac:dyDescent="0.25">
      <c r="D6" s="123" t="s">
        <v>4</v>
      </c>
      <c r="P6" s="126" t="s">
        <v>129</v>
      </c>
    </row>
    <row r="7" spans="1:19" ht="36" customHeight="1" x14ac:dyDescent="0.25">
      <c r="A7" s="597" t="s">
        <v>130</v>
      </c>
      <c r="B7" s="597" t="s">
        <v>131</v>
      </c>
      <c r="C7" s="598" t="s">
        <v>132</v>
      </c>
      <c r="D7" s="599" t="s">
        <v>133</v>
      </c>
      <c r="E7" s="597" t="s">
        <v>134</v>
      </c>
      <c r="F7" s="597"/>
      <c r="G7" s="597"/>
      <c r="H7" s="597"/>
      <c r="I7" s="597"/>
      <c r="J7" s="597" t="s">
        <v>10</v>
      </c>
      <c r="K7" s="597"/>
      <c r="L7" s="597"/>
      <c r="M7" s="597"/>
      <c r="N7" s="597"/>
      <c r="O7" s="597"/>
      <c r="P7" s="597" t="s">
        <v>135</v>
      </c>
    </row>
    <row r="8" spans="1:19" ht="18.75" customHeight="1" x14ac:dyDescent="0.25">
      <c r="A8" s="597"/>
      <c r="B8" s="597"/>
      <c r="C8" s="598"/>
      <c r="D8" s="600"/>
      <c r="E8" s="597" t="s">
        <v>11</v>
      </c>
      <c r="F8" s="606" t="s">
        <v>136</v>
      </c>
      <c r="G8" s="597" t="s">
        <v>137</v>
      </c>
      <c r="H8" s="597"/>
      <c r="I8" s="606" t="s">
        <v>138</v>
      </c>
      <c r="J8" s="597" t="s">
        <v>11</v>
      </c>
      <c r="K8" s="599" t="s">
        <v>12</v>
      </c>
      <c r="L8" s="606" t="s">
        <v>136</v>
      </c>
      <c r="M8" s="597" t="s">
        <v>137</v>
      </c>
      <c r="N8" s="597"/>
      <c r="O8" s="606" t="s">
        <v>138</v>
      </c>
      <c r="P8" s="597"/>
    </row>
    <row r="9" spans="1:19" ht="13.5" customHeight="1" x14ac:dyDescent="0.25">
      <c r="A9" s="597"/>
      <c r="B9" s="597"/>
      <c r="C9" s="598"/>
      <c r="D9" s="600"/>
      <c r="E9" s="597"/>
      <c r="F9" s="606"/>
      <c r="G9" s="597" t="s">
        <v>139</v>
      </c>
      <c r="H9" s="597" t="s">
        <v>140</v>
      </c>
      <c r="I9" s="606"/>
      <c r="J9" s="597"/>
      <c r="K9" s="600"/>
      <c r="L9" s="606"/>
      <c r="M9" s="597" t="s">
        <v>139</v>
      </c>
      <c r="N9" s="597" t="s">
        <v>140</v>
      </c>
      <c r="O9" s="606"/>
      <c r="P9" s="597"/>
    </row>
    <row r="10" spans="1:19" ht="87.75" customHeight="1" x14ac:dyDescent="0.25">
      <c r="A10" s="597"/>
      <c r="B10" s="597"/>
      <c r="C10" s="598"/>
      <c r="D10" s="601"/>
      <c r="E10" s="597"/>
      <c r="F10" s="606"/>
      <c r="G10" s="597"/>
      <c r="H10" s="597"/>
      <c r="I10" s="606"/>
      <c r="J10" s="597"/>
      <c r="K10" s="601"/>
      <c r="L10" s="606"/>
      <c r="M10" s="597"/>
      <c r="N10" s="597"/>
      <c r="O10" s="606"/>
      <c r="P10" s="597"/>
    </row>
    <row r="11" spans="1:19" s="128" customFormat="1" ht="15" customHeight="1" x14ac:dyDescent="0.25">
      <c r="A11" s="127">
        <v>1</v>
      </c>
      <c r="B11" s="127">
        <f>A11+1</f>
        <v>2</v>
      </c>
      <c r="C11" s="127">
        <f t="shared" ref="C11:J11" si="0">B11+1</f>
        <v>3</v>
      </c>
      <c r="D11" s="127">
        <f t="shared" si="0"/>
        <v>4</v>
      </c>
      <c r="E11" s="127">
        <f t="shared" si="0"/>
        <v>5</v>
      </c>
      <c r="F11" s="127">
        <f t="shared" si="0"/>
        <v>6</v>
      </c>
      <c r="G11" s="127">
        <f t="shared" si="0"/>
        <v>7</v>
      </c>
      <c r="H11" s="127">
        <f t="shared" si="0"/>
        <v>8</v>
      </c>
      <c r="I11" s="127">
        <f t="shared" si="0"/>
        <v>9</v>
      </c>
      <c r="J11" s="127">
        <f t="shared" si="0"/>
        <v>10</v>
      </c>
      <c r="K11" s="127">
        <f>J11+1</f>
        <v>11</v>
      </c>
      <c r="L11" s="127">
        <v>12</v>
      </c>
      <c r="M11" s="127">
        <f>L11+1</f>
        <v>13</v>
      </c>
      <c r="N11" s="127">
        <f>M11+1</f>
        <v>14</v>
      </c>
      <c r="O11" s="127">
        <f>N11+1</f>
        <v>15</v>
      </c>
      <c r="P11" s="127">
        <v>16</v>
      </c>
    </row>
    <row r="12" spans="1:19" s="133" customFormat="1" ht="42.75" customHeight="1" x14ac:dyDescent="0.25">
      <c r="A12" s="129" t="s">
        <v>141</v>
      </c>
      <c r="B12" s="129" t="s">
        <v>142</v>
      </c>
      <c r="C12" s="130"/>
      <c r="D12" s="131" t="s">
        <v>143</v>
      </c>
      <c r="E12" s="132">
        <f>E13</f>
        <v>20232935</v>
      </c>
      <c r="F12" s="132">
        <f t="shared" ref="F12:N12" si="1">F13</f>
        <v>20232935</v>
      </c>
      <c r="G12" s="132">
        <f t="shared" si="1"/>
        <v>5291028</v>
      </c>
      <c r="H12" s="132">
        <f t="shared" si="1"/>
        <v>0</v>
      </c>
      <c r="I12" s="132">
        <f t="shared" si="1"/>
        <v>0</v>
      </c>
      <c r="J12" s="132">
        <f>J13</f>
        <v>25044000</v>
      </c>
      <c r="K12" s="132">
        <f t="shared" si="1"/>
        <v>25044000</v>
      </c>
      <c r="L12" s="132">
        <f t="shared" si="1"/>
        <v>0</v>
      </c>
      <c r="M12" s="132">
        <f t="shared" si="1"/>
        <v>0</v>
      </c>
      <c r="N12" s="132">
        <f t="shared" si="1"/>
        <v>0</v>
      </c>
      <c r="O12" s="132">
        <f>O13</f>
        <v>25044000</v>
      </c>
      <c r="P12" s="132">
        <f>E12+J12</f>
        <v>45276935</v>
      </c>
      <c r="R12" s="134">
        <f>K12-O12</f>
        <v>0</v>
      </c>
      <c r="S12" s="135">
        <f t="shared" ref="S12:S89" si="2">O12-K12</f>
        <v>0</v>
      </c>
    </row>
    <row r="13" spans="1:19" s="133" customFormat="1" ht="42.75" customHeight="1" x14ac:dyDescent="0.25">
      <c r="A13" s="129" t="s">
        <v>144</v>
      </c>
      <c r="B13" s="129"/>
      <c r="C13" s="130"/>
      <c r="D13" s="131" t="s">
        <v>145</v>
      </c>
      <c r="E13" s="132">
        <f>SUM(E14:E34)-E17-E20</f>
        <v>20232935</v>
      </c>
      <c r="F13" s="132">
        <f>SUM(F14:F34)-F17-F20</f>
        <v>20232935</v>
      </c>
      <c r="G13" s="132">
        <f>SUM(G14:G34)-G17-G20</f>
        <v>5291028</v>
      </c>
      <c r="H13" s="132">
        <f>SUM(H14:H34)-H17-H20</f>
        <v>0</v>
      </c>
      <c r="I13" s="132">
        <f>SUM(I14:I34)-I17-I20</f>
        <v>0</v>
      </c>
      <c r="J13" s="132">
        <f>SUM(J14:J34)</f>
        <v>25044000</v>
      </c>
      <c r="K13" s="132">
        <f t="shared" ref="K13:P13" si="3">SUM(K14:K34)-K17-K20</f>
        <v>25044000</v>
      </c>
      <c r="L13" s="132">
        <f t="shared" si="3"/>
        <v>0</v>
      </c>
      <c r="M13" s="132">
        <f t="shared" si="3"/>
        <v>0</v>
      </c>
      <c r="N13" s="132">
        <f t="shared" si="3"/>
        <v>0</v>
      </c>
      <c r="O13" s="132">
        <f t="shared" si="3"/>
        <v>25044000</v>
      </c>
      <c r="P13" s="132">
        <f t="shared" si="3"/>
        <v>45276935</v>
      </c>
      <c r="R13" s="134">
        <f t="shared" ref="R13:R90" si="4">K13-O13</f>
        <v>0</v>
      </c>
      <c r="S13" s="135">
        <f t="shared" si="2"/>
        <v>0</v>
      </c>
    </row>
    <row r="14" spans="1:19" s="139" customFormat="1" ht="47.25" x14ac:dyDescent="0.25">
      <c r="A14" s="136" t="s">
        <v>146</v>
      </c>
      <c r="B14" s="136" t="s">
        <v>147</v>
      </c>
      <c r="C14" s="137" t="s">
        <v>148</v>
      </c>
      <c r="D14" s="32" t="s">
        <v>149</v>
      </c>
      <c r="E14" s="138">
        <f t="shared" ref="E14:E54" si="5">F14+I14</f>
        <v>5582935</v>
      </c>
      <c r="F14" s="138">
        <v>5582935</v>
      </c>
      <c r="G14" s="138">
        <v>5291028</v>
      </c>
      <c r="H14" s="138"/>
      <c r="I14" s="138"/>
      <c r="J14" s="138">
        <f>L14+O14</f>
        <v>0</v>
      </c>
      <c r="K14" s="138"/>
      <c r="L14" s="138"/>
      <c r="M14" s="138"/>
      <c r="N14" s="138"/>
      <c r="O14" s="138"/>
      <c r="P14" s="138">
        <f>E14+J14</f>
        <v>5582935</v>
      </c>
      <c r="R14" s="134">
        <f t="shared" si="4"/>
        <v>0</v>
      </c>
      <c r="S14" s="135">
        <f t="shared" si="2"/>
        <v>0</v>
      </c>
    </row>
    <row r="15" spans="1:19" s="144" customFormat="1" ht="24" hidden="1" customHeight="1" x14ac:dyDescent="0.25">
      <c r="A15" s="140" t="s">
        <v>150</v>
      </c>
      <c r="B15" s="140" t="s">
        <v>151</v>
      </c>
      <c r="C15" s="141" t="s">
        <v>152</v>
      </c>
      <c r="D15" s="142" t="s">
        <v>153</v>
      </c>
      <c r="E15" s="143">
        <f t="shared" si="5"/>
        <v>0</v>
      </c>
      <c r="F15" s="143"/>
      <c r="G15" s="143"/>
      <c r="H15" s="143"/>
      <c r="I15" s="143"/>
      <c r="J15" s="143">
        <f t="shared" ref="J15:J32" si="6">L15+O15</f>
        <v>0</v>
      </c>
      <c r="K15" s="143"/>
      <c r="L15" s="143"/>
      <c r="M15" s="143"/>
      <c r="N15" s="143"/>
      <c r="O15" s="143"/>
      <c r="P15" s="143">
        <f>E15+J15</f>
        <v>0</v>
      </c>
      <c r="R15" s="145">
        <f t="shared" si="4"/>
        <v>0</v>
      </c>
      <c r="S15" s="73">
        <f t="shared" si="2"/>
        <v>0</v>
      </c>
    </row>
    <row r="16" spans="1:19" s="144" customFormat="1" ht="34.5" hidden="1" customHeight="1" x14ac:dyDescent="0.25">
      <c r="A16" s="140" t="s">
        <v>154</v>
      </c>
      <c r="B16" s="140" t="s">
        <v>155</v>
      </c>
      <c r="C16" s="146" t="s">
        <v>156</v>
      </c>
      <c r="D16" s="142" t="s">
        <v>157</v>
      </c>
      <c r="E16" s="147">
        <f>F16+I16</f>
        <v>0</v>
      </c>
      <c r="F16" s="147"/>
      <c r="G16" s="147"/>
      <c r="H16" s="147"/>
      <c r="I16" s="147"/>
      <c r="J16" s="147">
        <f>L16+O16</f>
        <v>0</v>
      </c>
      <c r="K16" s="147"/>
      <c r="L16" s="147"/>
      <c r="M16" s="147"/>
      <c r="N16" s="147"/>
      <c r="O16" s="147"/>
      <c r="P16" s="143">
        <f>E16+J16</f>
        <v>0</v>
      </c>
      <c r="R16" s="145">
        <f t="shared" si="4"/>
        <v>0</v>
      </c>
      <c r="S16" s="73">
        <f t="shared" si="2"/>
        <v>0</v>
      </c>
    </row>
    <row r="17" spans="1:19" s="153" customFormat="1" ht="47.25" hidden="1" x14ac:dyDescent="0.25">
      <c r="A17" s="148"/>
      <c r="B17" s="148"/>
      <c r="C17" s="149"/>
      <c r="D17" s="150" t="s">
        <v>158</v>
      </c>
      <c r="E17" s="151">
        <f t="shared" si="5"/>
        <v>0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>
        <f t="shared" ref="P17:P76" si="7">E17+J17</f>
        <v>0</v>
      </c>
      <c r="R17" s="145">
        <f t="shared" si="4"/>
        <v>0</v>
      </c>
      <c r="S17" s="73">
        <f t="shared" si="2"/>
        <v>0</v>
      </c>
    </row>
    <row r="18" spans="1:19" s="144" customFormat="1" ht="30.75" hidden="1" customHeight="1" x14ac:dyDescent="0.25">
      <c r="A18" s="140" t="s">
        <v>159</v>
      </c>
      <c r="B18" s="140" t="s">
        <v>160</v>
      </c>
      <c r="C18" s="146" t="s">
        <v>161</v>
      </c>
      <c r="D18" s="154" t="s">
        <v>162</v>
      </c>
      <c r="E18" s="147">
        <f t="shared" si="5"/>
        <v>0</v>
      </c>
      <c r="F18" s="147"/>
      <c r="G18" s="147"/>
      <c r="H18" s="147"/>
      <c r="I18" s="147"/>
      <c r="J18" s="147">
        <f t="shared" si="6"/>
        <v>0</v>
      </c>
      <c r="K18" s="147"/>
      <c r="L18" s="147"/>
      <c r="M18" s="147"/>
      <c r="N18" s="147"/>
      <c r="O18" s="147"/>
      <c r="P18" s="143">
        <f t="shared" si="7"/>
        <v>0</v>
      </c>
      <c r="R18" s="145">
        <f t="shared" si="4"/>
        <v>0</v>
      </c>
      <c r="S18" s="73">
        <f t="shared" si="2"/>
        <v>0</v>
      </c>
    </row>
    <row r="19" spans="1:19" s="144" customFormat="1" ht="30.75" hidden="1" customHeight="1" x14ac:dyDescent="0.25">
      <c r="A19" s="140" t="s">
        <v>163</v>
      </c>
      <c r="B19" s="140" t="s">
        <v>164</v>
      </c>
      <c r="C19" s="155" t="s">
        <v>165</v>
      </c>
      <c r="D19" s="156" t="s">
        <v>166</v>
      </c>
      <c r="E19" s="147">
        <f t="shared" si="5"/>
        <v>0</v>
      </c>
      <c r="F19" s="147"/>
      <c r="G19" s="147"/>
      <c r="H19" s="147"/>
      <c r="I19" s="147"/>
      <c r="J19" s="147">
        <f t="shared" si="6"/>
        <v>0</v>
      </c>
      <c r="K19" s="147"/>
      <c r="L19" s="147"/>
      <c r="M19" s="147"/>
      <c r="N19" s="147"/>
      <c r="O19" s="147"/>
      <c r="P19" s="143">
        <f t="shared" si="7"/>
        <v>0</v>
      </c>
      <c r="R19" s="145">
        <f t="shared" si="4"/>
        <v>0</v>
      </c>
      <c r="S19" s="73">
        <f t="shared" si="2"/>
        <v>0</v>
      </c>
    </row>
    <row r="20" spans="1:19" s="153" customFormat="1" ht="78.75" hidden="1" x14ac:dyDescent="0.25">
      <c r="A20" s="148"/>
      <c r="B20" s="148"/>
      <c r="C20" s="157"/>
      <c r="D20" s="158" t="s">
        <v>167</v>
      </c>
      <c r="E20" s="151">
        <f t="shared" si="5"/>
        <v>0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2">
        <f t="shared" si="7"/>
        <v>0</v>
      </c>
      <c r="R20" s="145">
        <f t="shared" si="4"/>
        <v>0</v>
      </c>
      <c r="S20" s="73">
        <f t="shared" si="2"/>
        <v>0</v>
      </c>
    </row>
    <row r="21" spans="1:19" s="144" customFormat="1" ht="30.75" hidden="1" customHeight="1" x14ac:dyDescent="0.25">
      <c r="A21" s="140" t="s">
        <v>168</v>
      </c>
      <c r="B21" s="140" t="s">
        <v>169</v>
      </c>
      <c r="C21" s="155" t="s">
        <v>165</v>
      </c>
      <c r="D21" s="159" t="s">
        <v>170</v>
      </c>
      <c r="E21" s="147">
        <f>F21+I21</f>
        <v>0</v>
      </c>
      <c r="F21" s="147"/>
      <c r="G21" s="147"/>
      <c r="H21" s="147"/>
      <c r="I21" s="147"/>
      <c r="J21" s="147">
        <f>L21+O21</f>
        <v>0</v>
      </c>
      <c r="K21" s="147"/>
      <c r="L21" s="147"/>
      <c r="M21" s="147"/>
      <c r="N21" s="147"/>
      <c r="O21" s="147"/>
      <c r="P21" s="143">
        <f>E21+J21</f>
        <v>0</v>
      </c>
      <c r="R21" s="145">
        <f t="shared" si="4"/>
        <v>0</v>
      </c>
      <c r="S21" s="73">
        <f t="shared" si="2"/>
        <v>0</v>
      </c>
    </row>
    <row r="22" spans="1:19" s="144" customFormat="1" hidden="1" x14ac:dyDescent="0.25">
      <c r="A22" s="140" t="s">
        <v>171</v>
      </c>
      <c r="B22" s="140" t="s">
        <v>172</v>
      </c>
      <c r="C22" s="141" t="s">
        <v>173</v>
      </c>
      <c r="D22" s="160" t="s">
        <v>174</v>
      </c>
      <c r="E22" s="143">
        <f t="shared" si="5"/>
        <v>0</v>
      </c>
      <c r="F22" s="143"/>
      <c r="G22" s="143"/>
      <c r="H22" s="143"/>
      <c r="I22" s="143"/>
      <c r="J22" s="143">
        <f>L22+O22</f>
        <v>0</v>
      </c>
      <c r="K22" s="143"/>
      <c r="L22" s="143"/>
      <c r="M22" s="143"/>
      <c r="N22" s="143"/>
      <c r="O22" s="143"/>
      <c r="P22" s="143">
        <f t="shared" si="7"/>
        <v>0</v>
      </c>
      <c r="R22" s="145">
        <f t="shared" si="4"/>
        <v>0</v>
      </c>
      <c r="S22" s="73">
        <f t="shared" si="2"/>
        <v>0</v>
      </c>
    </row>
    <row r="23" spans="1:19" s="144" customFormat="1" ht="18.75" hidden="1" customHeight="1" x14ac:dyDescent="0.25">
      <c r="A23" s="140" t="s">
        <v>175</v>
      </c>
      <c r="B23" s="140" t="s">
        <v>176</v>
      </c>
      <c r="C23" s="141" t="s">
        <v>177</v>
      </c>
      <c r="D23" s="142" t="s">
        <v>178</v>
      </c>
      <c r="E23" s="161">
        <f t="shared" si="5"/>
        <v>0</v>
      </c>
      <c r="F23" s="161"/>
      <c r="G23" s="161"/>
      <c r="H23" s="161"/>
      <c r="I23" s="161"/>
      <c r="J23" s="161">
        <f t="shared" si="6"/>
        <v>0</v>
      </c>
      <c r="K23" s="161"/>
      <c r="L23" s="161"/>
      <c r="M23" s="161"/>
      <c r="N23" s="161"/>
      <c r="O23" s="161"/>
      <c r="P23" s="161">
        <f t="shared" si="7"/>
        <v>0</v>
      </c>
      <c r="R23" s="145">
        <f t="shared" si="4"/>
        <v>0</v>
      </c>
      <c r="S23" s="73">
        <f t="shared" si="2"/>
        <v>0</v>
      </c>
    </row>
    <row r="24" spans="1:19" s="144" customFormat="1" ht="36" hidden="1" customHeight="1" x14ac:dyDescent="0.25">
      <c r="A24" s="140" t="s">
        <v>179</v>
      </c>
      <c r="B24" s="140" t="s">
        <v>180</v>
      </c>
      <c r="C24" s="141" t="s">
        <v>181</v>
      </c>
      <c r="D24" s="159" t="s">
        <v>182</v>
      </c>
      <c r="E24" s="161">
        <f t="shared" si="5"/>
        <v>0</v>
      </c>
      <c r="F24" s="161"/>
      <c r="G24" s="161"/>
      <c r="H24" s="161"/>
      <c r="I24" s="161"/>
      <c r="J24" s="161">
        <f t="shared" si="6"/>
        <v>0</v>
      </c>
      <c r="K24" s="161"/>
      <c r="L24" s="161"/>
      <c r="M24" s="161"/>
      <c r="N24" s="161"/>
      <c r="O24" s="161"/>
      <c r="P24" s="161">
        <f t="shared" si="7"/>
        <v>0</v>
      </c>
      <c r="R24" s="145">
        <f t="shared" si="4"/>
        <v>0</v>
      </c>
      <c r="S24" s="73">
        <f t="shared" si="2"/>
        <v>0</v>
      </c>
    </row>
    <row r="25" spans="1:19" s="144" customFormat="1" ht="76.5" customHeight="1" x14ac:dyDescent="0.25">
      <c r="A25" s="140" t="s">
        <v>711</v>
      </c>
      <c r="B25" s="140" t="s">
        <v>709</v>
      </c>
      <c r="C25" s="141" t="s">
        <v>710</v>
      </c>
      <c r="D25" s="160" t="s">
        <v>712</v>
      </c>
      <c r="E25" s="161">
        <f t="shared" si="5"/>
        <v>0</v>
      </c>
      <c r="F25" s="161"/>
      <c r="G25" s="161"/>
      <c r="H25" s="161"/>
      <c r="I25" s="161"/>
      <c r="J25" s="161">
        <f t="shared" si="6"/>
        <v>5700000</v>
      </c>
      <c r="K25" s="161">
        <v>5700000</v>
      </c>
      <c r="L25" s="161"/>
      <c r="M25" s="161"/>
      <c r="N25" s="161"/>
      <c r="O25" s="161">
        <v>5700000</v>
      </c>
      <c r="P25" s="161">
        <f t="shared" si="7"/>
        <v>5700000</v>
      </c>
      <c r="R25" s="145"/>
      <c r="S25" s="73"/>
    </row>
    <row r="26" spans="1:19" s="144" customFormat="1" ht="22.5" hidden="1" customHeight="1" x14ac:dyDescent="0.25">
      <c r="A26" s="140" t="s">
        <v>183</v>
      </c>
      <c r="B26" s="140" t="s">
        <v>184</v>
      </c>
      <c r="C26" s="141" t="s">
        <v>185</v>
      </c>
      <c r="D26" s="159" t="s">
        <v>186</v>
      </c>
      <c r="E26" s="143"/>
      <c r="F26" s="143"/>
      <c r="G26" s="143"/>
      <c r="H26" s="143"/>
      <c r="I26" s="143"/>
      <c r="J26" s="143">
        <f t="shared" si="6"/>
        <v>0</v>
      </c>
      <c r="K26" s="162"/>
      <c r="L26" s="162"/>
      <c r="M26" s="162"/>
      <c r="N26" s="162"/>
      <c r="O26" s="162"/>
      <c r="P26" s="143"/>
      <c r="R26" s="145"/>
      <c r="S26" s="73"/>
    </row>
    <row r="27" spans="1:19" s="139" customFormat="1" ht="22.5" hidden="1" customHeight="1" x14ac:dyDescent="0.25">
      <c r="A27" s="136" t="s">
        <v>187</v>
      </c>
      <c r="B27" s="136" t="s">
        <v>188</v>
      </c>
      <c r="C27" s="137" t="s">
        <v>189</v>
      </c>
      <c r="D27" s="163" t="s">
        <v>190</v>
      </c>
      <c r="E27" s="138">
        <f t="shared" si="5"/>
        <v>0</v>
      </c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>
        <f t="shared" si="7"/>
        <v>0</v>
      </c>
      <c r="R27" s="134"/>
      <c r="S27" s="135"/>
    </row>
    <row r="28" spans="1:19" s="139" customFormat="1" ht="22.5" hidden="1" customHeight="1" x14ac:dyDescent="0.25">
      <c r="A28" s="136" t="s">
        <v>191</v>
      </c>
      <c r="B28" s="136" t="s">
        <v>192</v>
      </c>
      <c r="C28" s="137" t="s">
        <v>185</v>
      </c>
      <c r="D28" s="164" t="s">
        <v>193</v>
      </c>
      <c r="E28" s="143">
        <f>F28+I28</f>
        <v>0</v>
      </c>
      <c r="F28" s="143"/>
      <c r="G28" s="143"/>
      <c r="H28" s="143"/>
      <c r="I28" s="143"/>
      <c r="J28" s="143">
        <f>L28+O28</f>
        <v>0</v>
      </c>
      <c r="K28" s="143"/>
      <c r="L28" s="143"/>
      <c r="M28" s="143"/>
      <c r="N28" s="143"/>
      <c r="O28" s="143"/>
      <c r="P28" s="143">
        <f>E28+J28</f>
        <v>0</v>
      </c>
      <c r="R28" s="134"/>
      <c r="S28" s="135"/>
    </row>
    <row r="29" spans="1:19" s="144" customFormat="1" ht="99" hidden="1" customHeight="1" x14ac:dyDescent="0.25">
      <c r="A29" s="140" t="s">
        <v>194</v>
      </c>
      <c r="B29" s="140" t="s">
        <v>195</v>
      </c>
      <c r="C29" s="141" t="s">
        <v>185</v>
      </c>
      <c r="D29" s="160" t="s">
        <v>196</v>
      </c>
      <c r="E29" s="161">
        <f t="shared" si="5"/>
        <v>0</v>
      </c>
      <c r="F29" s="161"/>
      <c r="G29" s="161"/>
      <c r="H29" s="161"/>
      <c r="I29" s="161"/>
      <c r="J29" s="161">
        <f t="shared" si="6"/>
        <v>0</v>
      </c>
      <c r="K29" s="161"/>
      <c r="L29" s="161"/>
      <c r="M29" s="161"/>
      <c r="N29" s="161"/>
      <c r="O29" s="161"/>
      <c r="P29" s="161">
        <f t="shared" si="7"/>
        <v>0</v>
      </c>
      <c r="R29" s="145">
        <f t="shared" si="4"/>
        <v>0</v>
      </c>
      <c r="S29" s="73">
        <f t="shared" si="2"/>
        <v>0</v>
      </c>
    </row>
    <row r="30" spans="1:19" s="139" customFormat="1" ht="27" hidden="1" customHeight="1" x14ac:dyDescent="0.25">
      <c r="A30" s="136" t="s">
        <v>197</v>
      </c>
      <c r="B30" s="136" t="s">
        <v>198</v>
      </c>
      <c r="C30" s="137" t="s">
        <v>185</v>
      </c>
      <c r="D30" s="164" t="s">
        <v>199</v>
      </c>
      <c r="E30" s="138">
        <f t="shared" si="5"/>
        <v>0</v>
      </c>
      <c r="F30" s="138"/>
      <c r="G30" s="138"/>
      <c r="H30" s="138"/>
      <c r="I30" s="138"/>
      <c r="J30" s="138">
        <f t="shared" si="6"/>
        <v>0</v>
      </c>
      <c r="K30" s="138"/>
      <c r="L30" s="138"/>
      <c r="M30" s="138"/>
      <c r="N30" s="138"/>
      <c r="O30" s="138"/>
      <c r="P30" s="138">
        <f t="shared" si="7"/>
        <v>0</v>
      </c>
      <c r="R30" s="134">
        <f t="shared" si="4"/>
        <v>0</v>
      </c>
      <c r="S30" s="135">
        <f t="shared" si="2"/>
        <v>0</v>
      </c>
    </row>
    <row r="31" spans="1:19" s="144" customFormat="1" ht="33.75" hidden="1" customHeight="1" x14ac:dyDescent="0.25">
      <c r="A31" s="140" t="s">
        <v>200</v>
      </c>
      <c r="B31" s="140" t="s">
        <v>201</v>
      </c>
      <c r="C31" s="146" t="s">
        <v>202</v>
      </c>
      <c r="D31" s="156" t="s">
        <v>203</v>
      </c>
      <c r="E31" s="162">
        <f t="shared" si="5"/>
        <v>0</v>
      </c>
      <c r="F31" s="162"/>
      <c r="G31" s="162"/>
      <c r="H31" s="162"/>
      <c r="I31" s="162"/>
      <c r="J31" s="138">
        <f t="shared" si="6"/>
        <v>0</v>
      </c>
      <c r="K31" s="162"/>
      <c r="L31" s="162"/>
      <c r="M31" s="162"/>
      <c r="N31" s="162"/>
      <c r="O31" s="162"/>
      <c r="P31" s="162">
        <f>E31+J31</f>
        <v>0</v>
      </c>
      <c r="R31" s="145">
        <f>K31-O31</f>
        <v>0</v>
      </c>
      <c r="S31" s="73">
        <f>O31-K31</f>
        <v>0</v>
      </c>
    </row>
    <row r="32" spans="1:19" s="144" customFormat="1" ht="33.75" customHeight="1" x14ac:dyDescent="0.25">
      <c r="A32" s="140" t="s">
        <v>204</v>
      </c>
      <c r="B32" s="165">
        <v>8240</v>
      </c>
      <c r="C32" s="146" t="s">
        <v>202</v>
      </c>
      <c r="D32" s="166" t="s">
        <v>205</v>
      </c>
      <c r="E32" s="162">
        <f t="shared" si="5"/>
        <v>0</v>
      </c>
      <c r="F32" s="162"/>
      <c r="G32" s="162"/>
      <c r="H32" s="162"/>
      <c r="I32" s="162"/>
      <c r="J32" s="138">
        <f t="shared" si="6"/>
        <v>350000</v>
      </c>
      <c r="K32" s="162">
        <v>350000</v>
      </c>
      <c r="L32" s="162"/>
      <c r="M32" s="162"/>
      <c r="N32" s="162"/>
      <c r="O32" s="162">
        <v>350000</v>
      </c>
      <c r="P32" s="162">
        <f>E32+J32</f>
        <v>350000</v>
      </c>
      <c r="R32" s="145"/>
      <c r="S32" s="73"/>
    </row>
    <row r="33" spans="1:19" s="144" customFormat="1" ht="33.75" hidden="1" customHeight="1" x14ac:dyDescent="0.25">
      <c r="A33" s="140" t="s">
        <v>677</v>
      </c>
      <c r="B33" s="140" t="s">
        <v>456</v>
      </c>
      <c r="C33" s="141" t="s">
        <v>151</v>
      </c>
      <c r="D33" s="171" t="s">
        <v>108</v>
      </c>
      <c r="E33" s="147">
        <f t="shared" si="5"/>
        <v>0</v>
      </c>
      <c r="F33" s="143"/>
      <c r="G33" s="217"/>
      <c r="H33" s="217"/>
      <c r="I33" s="217"/>
      <c r="J33" s="143">
        <f>L33+O33</f>
        <v>0</v>
      </c>
      <c r="K33" s="217"/>
      <c r="L33" s="217"/>
      <c r="M33" s="217"/>
      <c r="N33" s="217"/>
      <c r="O33" s="217"/>
      <c r="P33" s="143">
        <f t="shared" ref="P33" si="8">E33+J33</f>
        <v>0</v>
      </c>
      <c r="R33" s="145"/>
      <c r="S33" s="73"/>
    </row>
    <row r="34" spans="1:19" s="144" customFormat="1" ht="39" customHeight="1" x14ac:dyDescent="0.25">
      <c r="A34" s="140" t="s">
        <v>206</v>
      </c>
      <c r="B34" s="140" t="s">
        <v>207</v>
      </c>
      <c r="C34" s="146" t="s">
        <v>151</v>
      </c>
      <c r="D34" s="156" t="s">
        <v>208</v>
      </c>
      <c r="E34" s="162">
        <f t="shared" si="5"/>
        <v>14650000</v>
      </c>
      <c r="F34" s="162">
        <f>14250000+400000</f>
        <v>14650000</v>
      </c>
      <c r="G34" s="162"/>
      <c r="H34" s="162"/>
      <c r="I34" s="162"/>
      <c r="J34" s="162">
        <f>L34+O34</f>
        <v>18994000</v>
      </c>
      <c r="K34" s="162">
        <f>14494000+2500000+2000000</f>
        <v>18994000</v>
      </c>
      <c r="L34" s="162"/>
      <c r="M34" s="162"/>
      <c r="N34" s="162"/>
      <c r="O34" s="162">
        <f>14494000+2500000+2000000</f>
        <v>18994000</v>
      </c>
      <c r="P34" s="162">
        <f>E34+J34</f>
        <v>33644000</v>
      </c>
      <c r="R34" s="145" t="e">
        <f>#REF!-#REF!</f>
        <v>#REF!</v>
      </c>
      <c r="S34" s="75"/>
    </row>
    <row r="35" spans="1:19" s="124" customFormat="1" ht="49.5" customHeight="1" x14ac:dyDescent="0.25">
      <c r="A35" s="129" t="s">
        <v>209</v>
      </c>
      <c r="B35" s="129" t="s">
        <v>210</v>
      </c>
      <c r="C35" s="167"/>
      <c r="D35" s="131" t="s">
        <v>211</v>
      </c>
      <c r="E35" s="132">
        <f t="shared" si="5"/>
        <v>13445218</v>
      </c>
      <c r="F35" s="132">
        <f t="shared" ref="F35:O35" si="9">F36</f>
        <v>13445218</v>
      </c>
      <c r="G35" s="132">
        <f>G36</f>
        <v>960127</v>
      </c>
      <c r="H35" s="132">
        <f t="shared" si="9"/>
        <v>0</v>
      </c>
      <c r="I35" s="132">
        <f t="shared" si="9"/>
        <v>0</v>
      </c>
      <c r="J35" s="132">
        <f t="shared" si="9"/>
        <v>0</v>
      </c>
      <c r="K35" s="132">
        <f t="shared" si="9"/>
        <v>0</v>
      </c>
      <c r="L35" s="132">
        <f t="shared" si="9"/>
        <v>0</v>
      </c>
      <c r="M35" s="132">
        <f t="shared" si="9"/>
        <v>0</v>
      </c>
      <c r="N35" s="132">
        <f t="shared" si="9"/>
        <v>0</v>
      </c>
      <c r="O35" s="132">
        <f t="shared" si="9"/>
        <v>0</v>
      </c>
      <c r="P35" s="132">
        <f>E35+J35</f>
        <v>13445218</v>
      </c>
      <c r="Q35" s="168">
        <v>9925379</v>
      </c>
      <c r="R35" s="134">
        <f>K35-O35</f>
        <v>0</v>
      </c>
      <c r="S35" s="135">
        <f t="shared" si="2"/>
        <v>0</v>
      </c>
    </row>
    <row r="36" spans="1:19" s="124" customFormat="1" ht="53.25" customHeight="1" x14ac:dyDescent="0.25">
      <c r="A36" s="129" t="s">
        <v>212</v>
      </c>
      <c r="B36" s="129"/>
      <c r="C36" s="167"/>
      <c r="D36" s="131" t="s">
        <v>213</v>
      </c>
      <c r="E36" s="132">
        <f t="shared" si="5"/>
        <v>13445218</v>
      </c>
      <c r="F36" s="132">
        <f>SUM(F37:F71)-F40-F42-F57-F56-F46-F44</f>
        <v>13445218</v>
      </c>
      <c r="G36" s="132">
        <f>SUM(G37:G71)-G40-G42-G60-G44-G46</f>
        <v>960127</v>
      </c>
      <c r="H36" s="132">
        <f>SUM(H37:H71)-H40-H42</f>
        <v>0</v>
      </c>
      <c r="I36" s="132">
        <f>SUM(I37:I71)-I40-I42</f>
        <v>0</v>
      </c>
      <c r="J36" s="132">
        <f>L36+O36</f>
        <v>0</v>
      </c>
      <c r="K36" s="132">
        <f>SUM(K37:K71)-K40-K42-K46-K44</f>
        <v>0</v>
      </c>
      <c r="L36" s="132">
        <f>SUM(L37:L71)-L40-L42-L46</f>
        <v>0</v>
      </c>
      <c r="M36" s="132">
        <f>SUM(M37:M71)-M40-M42-M46</f>
        <v>0</v>
      </c>
      <c r="N36" s="132">
        <f>SUM(N37:N71)-N40-N42-N46</f>
        <v>0</v>
      </c>
      <c r="O36" s="132">
        <f>SUM(O37:O71)-O40-O42-O46-O44-O45</f>
        <v>0</v>
      </c>
      <c r="P36" s="132">
        <f>E36+J36</f>
        <v>13445218</v>
      </c>
      <c r="R36" s="134">
        <f t="shared" si="4"/>
        <v>0</v>
      </c>
      <c r="S36" s="135">
        <f t="shared" si="2"/>
        <v>0</v>
      </c>
    </row>
    <row r="37" spans="1:19" s="124" customFormat="1" ht="47.25" x14ac:dyDescent="0.25">
      <c r="A37" s="136" t="s">
        <v>214</v>
      </c>
      <c r="B37" s="136" t="s">
        <v>147</v>
      </c>
      <c r="C37" s="137" t="s">
        <v>148</v>
      </c>
      <c r="D37" s="32" t="s">
        <v>215</v>
      </c>
      <c r="E37" s="169">
        <f t="shared" si="5"/>
        <v>1171355</v>
      </c>
      <c r="F37" s="138">
        <v>1171355</v>
      </c>
      <c r="G37" s="138">
        <v>960127</v>
      </c>
      <c r="H37" s="138"/>
      <c r="I37" s="132"/>
      <c r="J37" s="138">
        <f>L37+O37</f>
        <v>0</v>
      </c>
      <c r="K37" s="132"/>
      <c r="L37" s="132"/>
      <c r="M37" s="132"/>
      <c r="N37" s="132"/>
      <c r="O37" s="132"/>
      <c r="P37" s="138">
        <f t="shared" si="7"/>
        <v>1171355</v>
      </c>
      <c r="R37" s="134">
        <f t="shared" si="4"/>
        <v>0</v>
      </c>
      <c r="S37" s="135">
        <f t="shared" si="2"/>
        <v>0</v>
      </c>
    </row>
    <row r="38" spans="1:19" ht="33.75" customHeight="1" x14ac:dyDescent="0.25">
      <c r="A38" s="136" t="s">
        <v>216</v>
      </c>
      <c r="B38" s="136" t="s">
        <v>217</v>
      </c>
      <c r="C38" s="137" t="s">
        <v>218</v>
      </c>
      <c r="D38" s="170" t="s">
        <v>219</v>
      </c>
      <c r="E38" s="169">
        <f t="shared" si="5"/>
        <v>7389221</v>
      </c>
      <c r="F38" s="169">
        <f>1750000+500000+3000000+2139221</f>
        <v>7389221</v>
      </c>
      <c r="G38" s="169"/>
      <c r="H38" s="169"/>
      <c r="I38" s="169"/>
      <c r="J38" s="138">
        <f t="shared" ref="J38:J53" si="10">L38+O38</f>
        <v>0</v>
      </c>
      <c r="K38" s="138"/>
      <c r="L38" s="169"/>
      <c r="M38" s="169"/>
      <c r="N38" s="169"/>
      <c r="O38" s="138"/>
      <c r="P38" s="138">
        <f t="shared" si="7"/>
        <v>7389221</v>
      </c>
      <c r="R38" s="134">
        <f t="shared" si="4"/>
        <v>0</v>
      </c>
      <c r="S38" s="135">
        <f t="shared" si="2"/>
        <v>0</v>
      </c>
    </row>
    <row r="39" spans="1:19" s="7" customFormat="1" ht="62.25" customHeight="1" x14ac:dyDescent="0.25">
      <c r="A39" s="140" t="s">
        <v>220</v>
      </c>
      <c r="B39" s="140" t="s">
        <v>221</v>
      </c>
      <c r="C39" s="141" t="s">
        <v>222</v>
      </c>
      <c r="D39" s="171" t="s">
        <v>223</v>
      </c>
      <c r="E39" s="147">
        <f t="shared" si="5"/>
        <v>3932564</v>
      </c>
      <c r="F39" s="172">
        <f>1750000+500000+2782564-1100000</f>
        <v>3932564</v>
      </c>
      <c r="G39" s="147"/>
      <c r="H39" s="147"/>
      <c r="I39" s="147"/>
      <c r="J39" s="143">
        <f t="shared" si="10"/>
        <v>0</v>
      </c>
      <c r="K39" s="147"/>
      <c r="L39" s="147"/>
      <c r="M39" s="147"/>
      <c r="N39" s="147"/>
      <c r="O39" s="147"/>
      <c r="P39" s="143">
        <f t="shared" si="7"/>
        <v>3932564</v>
      </c>
      <c r="Q39" s="75" t="e">
        <f>P39+#REF!+#REF!</f>
        <v>#REF!</v>
      </c>
      <c r="R39" s="145">
        <f t="shared" si="4"/>
        <v>0</v>
      </c>
      <c r="S39" s="75"/>
    </row>
    <row r="40" spans="1:19" s="7" customFormat="1" ht="62.25" hidden="1" customHeight="1" x14ac:dyDescent="0.25">
      <c r="A40" s="140"/>
      <c r="B40" s="140"/>
      <c r="C40" s="141"/>
      <c r="D40" s="173" t="s">
        <v>158</v>
      </c>
      <c r="E40" s="174">
        <f t="shared" si="5"/>
        <v>0</v>
      </c>
      <c r="F40" s="151"/>
      <c r="G40" s="174"/>
      <c r="H40" s="174"/>
      <c r="I40" s="174"/>
      <c r="J40" s="174"/>
      <c r="K40" s="174"/>
      <c r="L40" s="174"/>
      <c r="M40" s="174"/>
      <c r="N40" s="174"/>
      <c r="O40" s="174"/>
      <c r="P40" s="161">
        <f t="shared" si="7"/>
        <v>0</v>
      </c>
      <c r="R40" s="145">
        <f t="shared" si="4"/>
        <v>0</v>
      </c>
      <c r="S40" s="75"/>
    </row>
    <row r="41" spans="1:19" s="7" customFormat="1" ht="33.75" hidden="1" customHeight="1" x14ac:dyDescent="0.25">
      <c r="A41" s="140" t="s">
        <v>224</v>
      </c>
      <c r="B41" s="140" t="s">
        <v>225</v>
      </c>
      <c r="C41" s="141" t="s">
        <v>222</v>
      </c>
      <c r="D41" s="160" t="s">
        <v>226</v>
      </c>
      <c r="E41" s="174">
        <f t="shared" si="5"/>
        <v>0</v>
      </c>
      <c r="F41" s="174"/>
      <c r="G41" s="174"/>
      <c r="H41" s="174"/>
      <c r="I41" s="174"/>
      <c r="J41" s="161">
        <f t="shared" si="10"/>
        <v>0</v>
      </c>
      <c r="K41" s="161"/>
      <c r="L41" s="174"/>
      <c r="M41" s="174"/>
      <c r="N41" s="174"/>
      <c r="O41" s="161"/>
      <c r="P41" s="161">
        <f t="shared" si="7"/>
        <v>0</v>
      </c>
      <c r="R41" s="145">
        <f t="shared" si="4"/>
        <v>0</v>
      </c>
      <c r="S41" s="75">
        <f t="shared" si="2"/>
        <v>0</v>
      </c>
    </row>
    <row r="42" spans="1:19" s="177" customFormat="1" ht="67.5" hidden="1" customHeight="1" x14ac:dyDescent="0.25">
      <c r="A42" s="148"/>
      <c r="B42" s="148"/>
      <c r="C42" s="175"/>
      <c r="D42" s="176" t="s">
        <v>227</v>
      </c>
      <c r="E42" s="174">
        <f t="shared" si="5"/>
        <v>0</v>
      </c>
      <c r="F42" s="151"/>
      <c r="G42" s="151"/>
      <c r="H42" s="151"/>
      <c r="I42" s="151"/>
      <c r="J42" s="161">
        <f t="shared" si="10"/>
        <v>0</v>
      </c>
      <c r="K42" s="152"/>
      <c r="L42" s="151"/>
      <c r="M42" s="151"/>
      <c r="N42" s="151"/>
      <c r="O42" s="152"/>
      <c r="P42" s="161">
        <f t="shared" si="7"/>
        <v>0</v>
      </c>
      <c r="R42" s="145">
        <f t="shared" si="4"/>
        <v>0</v>
      </c>
      <c r="S42" s="75">
        <f t="shared" si="2"/>
        <v>0</v>
      </c>
    </row>
    <row r="43" spans="1:19" s="177" customFormat="1" ht="31.5" hidden="1" x14ac:dyDescent="0.25">
      <c r="A43" s="140" t="s">
        <v>228</v>
      </c>
      <c r="B43" s="140" t="s">
        <v>229</v>
      </c>
      <c r="C43" s="141" t="s">
        <v>222</v>
      </c>
      <c r="D43" s="142" t="s">
        <v>226</v>
      </c>
      <c r="E43" s="147">
        <f t="shared" si="5"/>
        <v>0</v>
      </c>
      <c r="F43" s="147"/>
      <c r="G43" s="147"/>
      <c r="H43" s="147"/>
      <c r="I43" s="147"/>
      <c r="J43" s="143">
        <f t="shared" si="10"/>
        <v>0</v>
      </c>
      <c r="K43" s="143"/>
      <c r="L43" s="147"/>
      <c r="M43" s="147"/>
      <c r="N43" s="147"/>
      <c r="O43" s="143"/>
      <c r="P43" s="143">
        <f>E43+J43</f>
        <v>0</v>
      </c>
      <c r="R43" s="145"/>
      <c r="S43" s="75"/>
    </row>
    <row r="44" spans="1:19" s="177" customFormat="1" hidden="1" x14ac:dyDescent="0.25">
      <c r="A44" s="148"/>
      <c r="B44" s="148"/>
      <c r="C44" s="175"/>
      <c r="D44" s="150" t="s">
        <v>230</v>
      </c>
      <c r="E44" s="174">
        <f t="shared" si="5"/>
        <v>0</v>
      </c>
      <c r="F44" s="151"/>
      <c r="G44" s="151"/>
      <c r="H44" s="151"/>
      <c r="I44" s="151"/>
      <c r="J44" s="161">
        <f t="shared" si="10"/>
        <v>0</v>
      </c>
      <c r="K44" s="152"/>
      <c r="L44" s="151"/>
      <c r="M44" s="151"/>
      <c r="N44" s="151"/>
      <c r="O44" s="152"/>
      <c r="P44" s="161">
        <f>E44+J44</f>
        <v>0</v>
      </c>
      <c r="R44" s="145"/>
      <c r="S44" s="75"/>
    </row>
    <row r="45" spans="1:19" s="177" customFormat="1" hidden="1" x14ac:dyDescent="0.25">
      <c r="A45" s="148"/>
      <c r="B45" s="148"/>
      <c r="C45" s="175"/>
      <c r="D45" s="150" t="s">
        <v>231</v>
      </c>
      <c r="E45" s="174">
        <f t="shared" si="5"/>
        <v>0</v>
      </c>
      <c r="F45" s="151"/>
      <c r="G45" s="151"/>
      <c r="H45" s="151"/>
      <c r="I45" s="151"/>
      <c r="J45" s="161">
        <f t="shared" si="10"/>
        <v>0</v>
      </c>
      <c r="K45" s="152"/>
      <c r="L45" s="151"/>
      <c r="M45" s="151"/>
      <c r="N45" s="151"/>
      <c r="O45" s="152"/>
      <c r="P45" s="161">
        <f t="shared" si="7"/>
        <v>0</v>
      </c>
      <c r="R45" s="145"/>
      <c r="S45" s="75"/>
    </row>
    <row r="46" spans="1:19" s="177" customFormat="1" hidden="1" x14ac:dyDescent="0.25">
      <c r="A46" s="148"/>
      <c r="B46" s="148"/>
      <c r="C46" s="175"/>
      <c r="D46" s="150" t="s">
        <v>232</v>
      </c>
      <c r="E46" s="178">
        <f t="shared" si="5"/>
        <v>0</v>
      </c>
      <c r="F46" s="178"/>
      <c r="G46" s="178"/>
      <c r="H46" s="178"/>
      <c r="I46" s="178"/>
      <c r="J46" s="179">
        <f t="shared" si="10"/>
        <v>0</v>
      </c>
      <c r="K46" s="179"/>
      <c r="L46" s="178"/>
      <c r="M46" s="178"/>
      <c r="N46" s="178"/>
      <c r="O46" s="179"/>
      <c r="P46" s="179">
        <f>E46+J46</f>
        <v>0</v>
      </c>
      <c r="R46" s="180"/>
      <c r="S46" s="181"/>
    </row>
    <row r="47" spans="1:19" s="7" customFormat="1" ht="59.25" hidden="1" customHeight="1" x14ac:dyDescent="0.25">
      <c r="A47" s="140" t="s">
        <v>233</v>
      </c>
      <c r="B47" s="140" t="s">
        <v>234</v>
      </c>
      <c r="C47" s="141" t="s">
        <v>235</v>
      </c>
      <c r="D47" s="142" t="s">
        <v>236</v>
      </c>
      <c r="E47" s="147">
        <f t="shared" si="5"/>
        <v>0</v>
      </c>
      <c r="F47" s="147"/>
      <c r="G47" s="147"/>
      <c r="H47" s="147"/>
      <c r="I47" s="147"/>
      <c r="J47" s="143">
        <f t="shared" si="10"/>
        <v>0</v>
      </c>
      <c r="K47" s="143"/>
      <c r="L47" s="147"/>
      <c r="M47" s="147"/>
      <c r="N47" s="147"/>
      <c r="O47" s="143"/>
      <c r="P47" s="143">
        <f t="shared" si="7"/>
        <v>0</v>
      </c>
      <c r="R47" s="145">
        <f t="shared" si="4"/>
        <v>0</v>
      </c>
      <c r="S47" s="75">
        <f t="shared" si="2"/>
        <v>0</v>
      </c>
    </row>
    <row r="48" spans="1:19" ht="29.25" hidden="1" customHeight="1" x14ac:dyDescent="0.25">
      <c r="A48" s="136" t="s">
        <v>237</v>
      </c>
      <c r="B48" s="136" t="s">
        <v>238</v>
      </c>
      <c r="C48" s="137" t="s">
        <v>235</v>
      </c>
      <c r="D48" s="182" t="s">
        <v>239</v>
      </c>
      <c r="E48" s="169">
        <f t="shared" si="5"/>
        <v>0</v>
      </c>
      <c r="F48" s="169"/>
      <c r="G48" s="169"/>
      <c r="H48" s="169"/>
      <c r="I48" s="169"/>
      <c r="J48" s="138">
        <f>L48+O48</f>
        <v>0</v>
      </c>
      <c r="K48" s="138"/>
      <c r="L48" s="169"/>
      <c r="M48" s="169"/>
      <c r="N48" s="169"/>
      <c r="O48" s="138"/>
      <c r="P48" s="138">
        <f t="shared" si="7"/>
        <v>0</v>
      </c>
      <c r="R48" s="134">
        <f>K48-O48</f>
        <v>0</v>
      </c>
      <c r="S48" s="135">
        <f>O48-K48</f>
        <v>0</v>
      </c>
    </row>
    <row r="49" spans="1:19" s="7" customFormat="1" ht="29.25" hidden="1" customHeight="1" x14ac:dyDescent="0.25">
      <c r="A49" s="140" t="s">
        <v>240</v>
      </c>
      <c r="B49" s="140" t="s">
        <v>241</v>
      </c>
      <c r="C49" s="141" t="s">
        <v>242</v>
      </c>
      <c r="D49" s="142" t="s">
        <v>243</v>
      </c>
      <c r="E49" s="174">
        <f t="shared" si="5"/>
        <v>0</v>
      </c>
      <c r="F49" s="174"/>
      <c r="G49" s="174"/>
      <c r="H49" s="174"/>
      <c r="I49" s="174"/>
      <c r="J49" s="161">
        <f t="shared" si="10"/>
        <v>0</v>
      </c>
      <c r="K49" s="161"/>
      <c r="L49" s="161"/>
      <c r="M49" s="161"/>
      <c r="N49" s="161"/>
      <c r="O49" s="161"/>
      <c r="P49" s="161">
        <f t="shared" si="7"/>
        <v>0</v>
      </c>
      <c r="R49" s="145">
        <f t="shared" si="4"/>
        <v>0</v>
      </c>
      <c r="S49" s="75">
        <f t="shared" si="2"/>
        <v>0</v>
      </c>
    </row>
    <row r="50" spans="1:19" ht="21" hidden="1" customHeight="1" x14ac:dyDescent="0.25">
      <c r="A50" s="136" t="s">
        <v>244</v>
      </c>
      <c r="B50" s="136" t="s">
        <v>245</v>
      </c>
      <c r="C50" s="137" t="s">
        <v>242</v>
      </c>
      <c r="D50" s="183" t="s">
        <v>246</v>
      </c>
      <c r="E50" s="169">
        <f t="shared" si="5"/>
        <v>0</v>
      </c>
      <c r="F50" s="147"/>
      <c r="G50" s="147"/>
      <c r="H50" s="169"/>
      <c r="I50" s="169"/>
      <c r="J50" s="138">
        <f t="shared" si="10"/>
        <v>0</v>
      </c>
      <c r="K50" s="138"/>
      <c r="L50" s="138"/>
      <c r="M50" s="138"/>
      <c r="N50" s="138"/>
      <c r="O50" s="138"/>
      <c r="P50" s="169">
        <f t="shared" si="7"/>
        <v>0</v>
      </c>
      <c r="R50" s="134">
        <f t="shared" si="4"/>
        <v>0</v>
      </c>
      <c r="S50" s="135">
        <f t="shared" si="2"/>
        <v>0</v>
      </c>
    </row>
    <row r="51" spans="1:19" s="7" customFormat="1" ht="24" hidden="1" customHeight="1" x14ac:dyDescent="0.25">
      <c r="A51" s="140" t="s">
        <v>247</v>
      </c>
      <c r="B51" s="140" t="s">
        <v>248</v>
      </c>
      <c r="C51" s="141" t="s">
        <v>242</v>
      </c>
      <c r="D51" s="142" t="s">
        <v>249</v>
      </c>
      <c r="E51" s="147">
        <f t="shared" si="5"/>
        <v>0</v>
      </c>
      <c r="F51" s="172"/>
      <c r="G51" s="147"/>
      <c r="H51" s="147"/>
      <c r="I51" s="147"/>
      <c r="J51" s="143">
        <f t="shared" si="10"/>
        <v>0</v>
      </c>
      <c r="K51" s="147"/>
      <c r="L51" s="147"/>
      <c r="M51" s="147"/>
      <c r="N51" s="147"/>
      <c r="O51" s="147"/>
      <c r="P51" s="147">
        <f t="shared" si="7"/>
        <v>0</v>
      </c>
      <c r="R51" s="145">
        <f t="shared" si="4"/>
        <v>0</v>
      </c>
      <c r="S51" s="75">
        <f t="shared" si="2"/>
        <v>0</v>
      </c>
    </row>
    <row r="52" spans="1:19" s="7" customFormat="1" ht="39.75" hidden="1" customHeight="1" x14ac:dyDescent="0.25">
      <c r="A52" s="140" t="s">
        <v>250</v>
      </c>
      <c r="B52" s="140" t="s">
        <v>251</v>
      </c>
      <c r="C52" s="141" t="s">
        <v>242</v>
      </c>
      <c r="D52" s="184" t="s">
        <v>252</v>
      </c>
      <c r="E52" s="147">
        <f t="shared" si="5"/>
        <v>0</v>
      </c>
      <c r="F52" s="147"/>
      <c r="G52" s="147"/>
      <c r="H52" s="147"/>
      <c r="I52" s="147"/>
      <c r="J52" s="143">
        <f t="shared" si="10"/>
        <v>0</v>
      </c>
      <c r="K52" s="147"/>
      <c r="L52" s="147"/>
      <c r="M52" s="147"/>
      <c r="N52" s="147"/>
      <c r="O52" s="147"/>
      <c r="P52" s="147">
        <f t="shared" si="7"/>
        <v>0</v>
      </c>
      <c r="R52" s="145">
        <f t="shared" si="4"/>
        <v>0</v>
      </c>
      <c r="S52" s="75"/>
    </row>
    <row r="53" spans="1:19" s="7" customFormat="1" ht="42" hidden="1" customHeight="1" x14ac:dyDescent="0.25">
      <c r="A53" s="140" t="s">
        <v>253</v>
      </c>
      <c r="B53" s="140" t="s">
        <v>254</v>
      </c>
      <c r="C53" s="141" t="s">
        <v>242</v>
      </c>
      <c r="D53" s="154" t="s">
        <v>255</v>
      </c>
      <c r="E53" s="174">
        <f t="shared" si="5"/>
        <v>0</v>
      </c>
      <c r="F53" s="174"/>
      <c r="G53" s="174"/>
      <c r="H53" s="174"/>
      <c r="I53" s="174"/>
      <c r="J53" s="161">
        <f t="shared" si="10"/>
        <v>0</v>
      </c>
      <c r="K53" s="174"/>
      <c r="L53" s="174"/>
      <c r="M53" s="174"/>
      <c r="N53" s="174"/>
      <c r="O53" s="174"/>
      <c r="P53" s="174">
        <f t="shared" si="7"/>
        <v>0</v>
      </c>
      <c r="R53" s="145">
        <f t="shared" si="4"/>
        <v>0</v>
      </c>
      <c r="S53" s="75">
        <f t="shared" si="2"/>
        <v>0</v>
      </c>
    </row>
    <row r="54" spans="1:19" s="7" customFormat="1" ht="42" hidden="1" customHeight="1" x14ac:dyDescent="0.25">
      <c r="A54" s="140" t="s">
        <v>256</v>
      </c>
      <c r="B54" s="140" t="s">
        <v>257</v>
      </c>
      <c r="C54" s="141" t="s">
        <v>242</v>
      </c>
      <c r="D54" s="154" t="s">
        <v>258</v>
      </c>
      <c r="E54" s="147">
        <f t="shared" si="5"/>
        <v>0</v>
      </c>
      <c r="F54" s="147"/>
      <c r="G54" s="147"/>
      <c r="H54" s="147"/>
      <c r="I54" s="147"/>
      <c r="J54" s="143">
        <f>L54+O54</f>
        <v>0</v>
      </c>
      <c r="K54" s="147"/>
      <c r="L54" s="147"/>
      <c r="M54" s="147"/>
      <c r="N54" s="147"/>
      <c r="O54" s="147"/>
      <c r="P54" s="147">
        <f t="shared" si="7"/>
        <v>0</v>
      </c>
      <c r="R54" s="145"/>
      <c r="S54" s="75"/>
    </row>
    <row r="55" spans="1:19" s="7" customFormat="1" ht="63" hidden="1" x14ac:dyDescent="0.25">
      <c r="A55" s="140" t="s">
        <v>259</v>
      </c>
      <c r="B55" s="140" t="s">
        <v>260</v>
      </c>
      <c r="C55" s="141" t="s">
        <v>242</v>
      </c>
      <c r="D55" s="154" t="s">
        <v>261</v>
      </c>
      <c r="E55" s="147">
        <f>E56+E57+E58</f>
        <v>0</v>
      </c>
      <c r="F55" s="147"/>
      <c r="G55" s="147"/>
      <c r="H55" s="147"/>
      <c r="I55" s="147"/>
      <c r="J55" s="143"/>
      <c r="K55" s="147"/>
      <c r="L55" s="147"/>
      <c r="M55" s="147"/>
      <c r="N55" s="147"/>
      <c r="O55" s="147"/>
      <c r="P55" s="147">
        <f t="shared" si="7"/>
        <v>0</v>
      </c>
      <c r="R55" s="145"/>
      <c r="S55" s="75"/>
    </row>
    <row r="56" spans="1:19" s="7" customFormat="1" ht="47.25" hidden="1" x14ac:dyDescent="0.25">
      <c r="A56" s="140"/>
      <c r="B56" s="140"/>
      <c r="C56" s="141"/>
      <c r="D56" s="176" t="s">
        <v>262</v>
      </c>
      <c r="E56" s="178">
        <f>F56</f>
        <v>0</v>
      </c>
      <c r="F56" s="178"/>
      <c r="G56" s="178"/>
      <c r="H56" s="178"/>
      <c r="I56" s="178"/>
      <c r="J56" s="179"/>
      <c r="K56" s="178"/>
      <c r="L56" s="178"/>
      <c r="M56" s="178"/>
      <c r="N56" s="178"/>
      <c r="O56" s="178"/>
      <c r="P56" s="178">
        <f t="shared" si="7"/>
        <v>0</v>
      </c>
      <c r="R56" s="145"/>
      <c r="S56" s="75"/>
    </row>
    <row r="57" spans="1:19" s="7" customFormat="1" ht="42" hidden="1" customHeight="1" x14ac:dyDescent="0.25">
      <c r="A57" s="140"/>
      <c r="B57" s="140"/>
      <c r="C57" s="141"/>
      <c r="D57" s="176" t="s">
        <v>263</v>
      </c>
      <c r="E57" s="178">
        <f>F57</f>
        <v>0</v>
      </c>
      <c r="F57" s="178"/>
      <c r="G57" s="178"/>
      <c r="H57" s="178"/>
      <c r="I57" s="178"/>
      <c r="J57" s="179"/>
      <c r="K57" s="178"/>
      <c r="L57" s="178"/>
      <c r="M57" s="178"/>
      <c r="N57" s="178"/>
      <c r="O57" s="178"/>
      <c r="P57" s="178">
        <f t="shared" si="7"/>
        <v>0</v>
      </c>
      <c r="R57" s="145"/>
      <c r="S57" s="75"/>
    </row>
    <row r="58" spans="1:19" s="7" customFormat="1" ht="42" hidden="1" customHeight="1" x14ac:dyDescent="0.25">
      <c r="A58" s="140"/>
      <c r="B58" s="140"/>
      <c r="C58" s="141"/>
      <c r="D58" s="176" t="s">
        <v>264</v>
      </c>
      <c r="E58" s="178">
        <f>F58</f>
        <v>0</v>
      </c>
      <c r="F58" s="178"/>
      <c r="G58" s="178"/>
      <c r="H58" s="178"/>
      <c r="I58" s="178"/>
      <c r="J58" s="179"/>
      <c r="K58" s="178"/>
      <c r="L58" s="178"/>
      <c r="M58" s="178"/>
      <c r="N58" s="178"/>
      <c r="O58" s="178"/>
      <c r="P58" s="178">
        <f t="shared" si="7"/>
        <v>0</v>
      </c>
      <c r="R58" s="145"/>
      <c r="S58" s="75"/>
    </row>
    <row r="59" spans="1:19" s="7" customFormat="1" ht="63" hidden="1" x14ac:dyDescent="0.25">
      <c r="A59" s="140" t="s">
        <v>265</v>
      </c>
      <c r="B59" s="140" t="s">
        <v>266</v>
      </c>
      <c r="C59" s="141" t="s">
        <v>242</v>
      </c>
      <c r="D59" s="154" t="s">
        <v>267</v>
      </c>
      <c r="E59" s="147">
        <f>F59</f>
        <v>0</v>
      </c>
      <c r="F59" s="147">
        <f>F60</f>
        <v>0</v>
      </c>
      <c r="G59" s="147">
        <f t="shared" ref="G59:O59" si="11">G60</f>
        <v>0</v>
      </c>
      <c r="H59" s="147">
        <f t="shared" si="11"/>
        <v>0</v>
      </c>
      <c r="I59" s="147">
        <f t="shared" si="11"/>
        <v>0</v>
      </c>
      <c r="J59" s="147">
        <f t="shared" si="11"/>
        <v>0</v>
      </c>
      <c r="K59" s="147">
        <f t="shared" si="11"/>
        <v>0</v>
      </c>
      <c r="L59" s="147">
        <f t="shared" si="11"/>
        <v>0</v>
      </c>
      <c r="M59" s="147">
        <f t="shared" si="11"/>
        <v>0</v>
      </c>
      <c r="N59" s="147">
        <f t="shared" si="11"/>
        <v>0</v>
      </c>
      <c r="O59" s="147">
        <f t="shared" si="11"/>
        <v>0</v>
      </c>
      <c r="P59" s="147">
        <f t="shared" si="7"/>
        <v>0</v>
      </c>
      <c r="R59" s="145"/>
      <c r="S59" s="75"/>
    </row>
    <row r="60" spans="1:19" s="7" customFormat="1" ht="24" hidden="1" customHeight="1" x14ac:dyDescent="0.25">
      <c r="A60" s="140"/>
      <c r="B60" s="140"/>
      <c r="C60" s="141"/>
      <c r="D60" s="176" t="s">
        <v>268</v>
      </c>
      <c r="E60" s="178">
        <f>F60</f>
        <v>0</v>
      </c>
      <c r="F60" s="178"/>
      <c r="G60" s="178"/>
      <c r="H60" s="178"/>
      <c r="I60" s="178"/>
      <c r="J60" s="179"/>
      <c r="K60" s="178"/>
      <c r="L60" s="178"/>
      <c r="M60" s="178"/>
      <c r="N60" s="178"/>
      <c r="O60" s="178"/>
      <c r="P60" s="178">
        <f t="shared" si="7"/>
        <v>0</v>
      </c>
      <c r="R60" s="145"/>
      <c r="S60" s="75"/>
    </row>
    <row r="61" spans="1:19" s="7" customFormat="1" ht="62.25" hidden="1" customHeight="1" x14ac:dyDescent="0.25">
      <c r="A61" s="140" t="s">
        <v>269</v>
      </c>
      <c r="B61" s="140" t="s">
        <v>270</v>
      </c>
      <c r="C61" s="141" t="s">
        <v>242</v>
      </c>
      <c r="D61" s="142" t="s">
        <v>271</v>
      </c>
      <c r="E61" s="174">
        <f>F61+I61</f>
        <v>0</v>
      </c>
      <c r="F61" s="174"/>
      <c r="G61" s="174"/>
      <c r="H61" s="174"/>
      <c r="I61" s="174"/>
      <c r="J61" s="161">
        <f>L61+O61</f>
        <v>0</v>
      </c>
      <c r="K61" s="161"/>
      <c r="L61" s="161"/>
      <c r="M61" s="161"/>
      <c r="N61" s="161"/>
      <c r="O61" s="161"/>
      <c r="P61" s="161">
        <f t="shared" si="7"/>
        <v>0</v>
      </c>
      <c r="R61" s="145">
        <f t="shared" si="4"/>
        <v>0</v>
      </c>
      <c r="S61" s="75"/>
    </row>
    <row r="62" spans="1:19" s="144" customFormat="1" ht="39" hidden="1" customHeight="1" x14ac:dyDescent="0.25">
      <c r="A62" s="140" t="s">
        <v>272</v>
      </c>
      <c r="B62" s="140" t="s">
        <v>273</v>
      </c>
      <c r="C62" s="141" t="s">
        <v>173</v>
      </c>
      <c r="D62" s="142" t="s">
        <v>274</v>
      </c>
      <c r="E62" s="147">
        <f>F62+I62</f>
        <v>0</v>
      </c>
      <c r="F62" s="147"/>
      <c r="G62" s="147"/>
      <c r="H62" s="147"/>
      <c r="I62" s="147"/>
      <c r="J62" s="147"/>
      <c r="K62" s="143"/>
      <c r="L62" s="143"/>
      <c r="M62" s="143"/>
      <c r="N62" s="143"/>
      <c r="O62" s="143"/>
      <c r="P62" s="143">
        <f t="shared" si="7"/>
        <v>0</v>
      </c>
      <c r="R62" s="145">
        <f t="shared" si="4"/>
        <v>0</v>
      </c>
      <c r="S62" s="75">
        <f t="shared" si="2"/>
        <v>0</v>
      </c>
    </row>
    <row r="63" spans="1:19" s="144" customFormat="1" ht="60" hidden="1" customHeight="1" x14ac:dyDescent="0.25">
      <c r="A63" s="140" t="s">
        <v>275</v>
      </c>
      <c r="B63" s="140" t="s">
        <v>276</v>
      </c>
      <c r="C63" s="185">
        <v>1040</v>
      </c>
      <c r="D63" s="159" t="s">
        <v>277</v>
      </c>
      <c r="E63" s="147">
        <f>F63+I63</f>
        <v>0</v>
      </c>
      <c r="F63" s="147"/>
      <c r="G63" s="147"/>
      <c r="H63" s="147"/>
      <c r="I63" s="147"/>
      <c r="J63" s="143">
        <f t="shared" ref="J63:J68" si="12">L63+O63</f>
        <v>0</v>
      </c>
      <c r="K63" s="143"/>
      <c r="L63" s="143"/>
      <c r="M63" s="143"/>
      <c r="N63" s="143"/>
      <c r="O63" s="143"/>
      <c r="P63" s="143">
        <f t="shared" si="7"/>
        <v>0</v>
      </c>
      <c r="R63" s="145">
        <f t="shared" si="4"/>
        <v>0</v>
      </c>
      <c r="S63" s="75">
        <f t="shared" si="2"/>
        <v>0</v>
      </c>
    </row>
    <row r="64" spans="1:19" ht="30.75" hidden="1" customHeight="1" x14ac:dyDescent="0.25">
      <c r="A64" s="136" t="s">
        <v>278</v>
      </c>
      <c r="B64" s="136" t="s">
        <v>279</v>
      </c>
      <c r="C64" s="137" t="s">
        <v>280</v>
      </c>
      <c r="D64" s="170" t="s">
        <v>281</v>
      </c>
      <c r="E64" s="138">
        <f>F64</f>
        <v>0</v>
      </c>
      <c r="F64" s="138"/>
      <c r="G64" s="138"/>
      <c r="H64" s="138"/>
      <c r="I64" s="138"/>
      <c r="J64" s="138">
        <f t="shared" si="12"/>
        <v>0</v>
      </c>
      <c r="K64" s="138"/>
      <c r="L64" s="138"/>
      <c r="M64" s="138"/>
      <c r="N64" s="138"/>
      <c r="O64" s="138"/>
      <c r="P64" s="138">
        <f t="shared" si="7"/>
        <v>0</v>
      </c>
      <c r="R64" s="134">
        <f>K64-O64</f>
        <v>0</v>
      </c>
      <c r="S64" s="135">
        <f>O64-K64</f>
        <v>0</v>
      </c>
    </row>
    <row r="65" spans="1:19" ht="30.75" hidden="1" customHeight="1" x14ac:dyDescent="0.25">
      <c r="A65" s="136" t="s">
        <v>282</v>
      </c>
      <c r="B65" s="136" t="s">
        <v>283</v>
      </c>
      <c r="C65" s="137" t="s">
        <v>284</v>
      </c>
      <c r="D65" s="182" t="s">
        <v>285</v>
      </c>
      <c r="E65" s="169">
        <f t="shared" ref="E65:E83" si="13">F65+I65</f>
        <v>0</v>
      </c>
      <c r="F65" s="169"/>
      <c r="G65" s="169"/>
      <c r="H65" s="169"/>
      <c r="I65" s="169"/>
      <c r="J65" s="138">
        <f t="shared" si="12"/>
        <v>0</v>
      </c>
      <c r="K65" s="138"/>
      <c r="L65" s="169"/>
      <c r="M65" s="169"/>
      <c r="N65" s="169"/>
      <c r="O65" s="138"/>
      <c r="P65" s="138">
        <f t="shared" si="7"/>
        <v>0</v>
      </c>
      <c r="R65" s="134">
        <f>K65-O65</f>
        <v>0</v>
      </c>
      <c r="S65" s="135">
        <f>O65-K65</f>
        <v>0</v>
      </c>
    </row>
    <row r="66" spans="1:19" ht="42.75" hidden="1" customHeight="1" x14ac:dyDescent="0.25">
      <c r="A66" s="136" t="s">
        <v>286</v>
      </c>
      <c r="B66" s="136" t="s">
        <v>287</v>
      </c>
      <c r="C66" s="137" t="s">
        <v>288</v>
      </c>
      <c r="D66" s="182" t="s">
        <v>289</v>
      </c>
      <c r="E66" s="169">
        <f t="shared" si="13"/>
        <v>0</v>
      </c>
      <c r="F66" s="169"/>
      <c r="G66" s="169"/>
      <c r="H66" s="169"/>
      <c r="I66" s="169"/>
      <c r="J66" s="138">
        <f t="shared" si="12"/>
        <v>0</v>
      </c>
      <c r="K66" s="138"/>
      <c r="L66" s="169"/>
      <c r="M66" s="169"/>
      <c r="N66" s="169"/>
      <c r="O66" s="138"/>
      <c r="P66" s="138">
        <f t="shared" si="7"/>
        <v>0</v>
      </c>
      <c r="R66" s="134">
        <f>K66-O66</f>
        <v>0</v>
      </c>
      <c r="S66" s="135">
        <f>O66-K66</f>
        <v>0</v>
      </c>
    </row>
    <row r="67" spans="1:19" ht="30.75" hidden="1" customHeight="1" x14ac:dyDescent="0.25">
      <c r="A67" s="136" t="s">
        <v>290</v>
      </c>
      <c r="B67" s="136" t="s">
        <v>291</v>
      </c>
      <c r="C67" s="137" t="s">
        <v>292</v>
      </c>
      <c r="D67" s="186" t="s">
        <v>293</v>
      </c>
      <c r="E67" s="169">
        <f t="shared" si="13"/>
        <v>0</v>
      </c>
      <c r="F67" s="169"/>
      <c r="G67" s="169"/>
      <c r="H67" s="169"/>
      <c r="I67" s="169"/>
      <c r="J67" s="138">
        <f t="shared" si="12"/>
        <v>0</v>
      </c>
      <c r="K67" s="169"/>
      <c r="L67" s="169"/>
      <c r="M67" s="169"/>
      <c r="N67" s="169"/>
      <c r="O67" s="169"/>
      <c r="P67" s="138">
        <f t="shared" si="7"/>
        <v>0</v>
      </c>
      <c r="R67" s="134">
        <f>K67-O67</f>
        <v>0</v>
      </c>
      <c r="S67" s="135">
        <f>O67-K67</f>
        <v>0</v>
      </c>
    </row>
    <row r="68" spans="1:19" s="144" customFormat="1" ht="31.5" hidden="1" x14ac:dyDescent="0.25">
      <c r="A68" s="140" t="s">
        <v>294</v>
      </c>
      <c r="B68" s="140" t="s">
        <v>295</v>
      </c>
      <c r="C68" s="141" t="s">
        <v>296</v>
      </c>
      <c r="D68" s="160" t="s">
        <v>297</v>
      </c>
      <c r="E68" s="143">
        <f t="shared" si="13"/>
        <v>0</v>
      </c>
      <c r="F68" s="143"/>
      <c r="G68" s="143"/>
      <c r="H68" s="143"/>
      <c r="I68" s="143"/>
      <c r="J68" s="143">
        <f t="shared" si="12"/>
        <v>0</v>
      </c>
      <c r="K68" s="143"/>
      <c r="L68" s="143"/>
      <c r="M68" s="143"/>
      <c r="N68" s="143"/>
      <c r="O68" s="143"/>
      <c r="P68" s="143">
        <f t="shared" si="7"/>
        <v>0</v>
      </c>
      <c r="R68" s="145">
        <f t="shared" si="4"/>
        <v>0</v>
      </c>
      <c r="S68" s="75">
        <f t="shared" si="2"/>
        <v>0</v>
      </c>
    </row>
    <row r="69" spans="1:19" s="144" customFormat="1" ht="36.75" hidden="1" customHeight="1" x14ac:dyDescent="0.25">
      <c r="A69" s="140" t="s">
        <v>298</v>
      </c>
      <c r="B69" s="140" t="s">
        <v>299</v>
      </c>
      <c r="C69" s="141" t="s">
        <v>296</v>
      </c>
      <c r="D69" s="160" t="s">
        <v>300</v>
      </c>
      <c r="E69" s="143">
        <f t="shared" si="13"/>
        <v>0</v>
      </c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>
        <f t="shared" si="7"/>
        <v>0</v>
      </c>
      <c r="R69" s="145">
        <f t="shared" si="4"/>
        <v>0</v>
      </c>
      <c r="S69" s="75">
        <f t="shared" si="2"/>
        <v>0</v>
      </c>
    </row>
    <row r="70" spans="1:19" s="139" customFormat="1" ht="37.5" customHeight="1" x14ac:dyDescent="0.25">
      <c r="A70" s="136" t="s">
        <v>301</v>
      </c>
      <c r="B70" s="136" t="s">
        <v>302</v>
      </c>
      <c r="C70" s="137" t="s">
        <v>296</v>
      </c>
      <c r="D70" s="182" t="s">
        <v>303</v>
      </c>
      <c r="E70" s="138">
        <f t="shared" si="13"/>
        <v>952078</v>
      </c>
      <c r="F70" s="169">
        <v>952078</v>
      </c>
      <c r="G70" s="169"/>
      <c r="H70" s="169"/>
      <c r="I70" s="169"/>
      <c r="J70" s="138">
        <f>L70+O70</f>
        <v>0</v>
      </c>
      <c r="K70" s="138"/>
      <c r="L70" s="169"/>
      <c r="M70" s="169"/>
      <c r="N70" s="169"/>
      <c r="O70" s="138"/>
      <c r="P70" s="138">
        <f>E70+J70</f>
        <v>952078</v>
      </c>
      <c r="R70" s="134">
        <f t="shared" si="4"/>
        <v>0</v>
      </c>
      <c r="S70" s="135">
        <f t="shared" si="2"/>
        <v>0</v>
      </c>
    </row>
    <row r="71" spans="1:19" s="144" customFormat="1" ht="37.5" hidden="1" customHeight="1" x14ac:dyDescent="0.25">
      <c r="A71" s="140" t="s">
        <v>304</v>
      </c>
      <c r="B71" s="140" t="s">
        <v>305</v>
      </c>
      <c r="C71" s="141" t="s">
        <v>296</v>
      </c>
      <c r="D71" s="142" t="s">
        <v>306</v>
      </c>
      <c r="E71" s="143">
        <f t="shared" si="13"/>
        <v>0</v>
      </c>
      <c r="F71" s="147"/>
      <c r="G71" s="147"/>
      <c r="H71" s="147"/>
      <c r="I71" s="147"/>
      <c r="J71" s="143"/>
      <c r="K71" s="143"/>
      <c r="L71" s="147"/>
      <c r="M71" s="147"/>
      <c r="N71" s="147"/>
      <c r="O71" s="143"/>
      <c r="P71" s="143">
        <f t="shared" si="7"/>
        <v>0</v>
      </c>
      <c r="R71" s="145">
        <f t="shared" si="4"/>
        <v>0</v>
      </c>
      <c r="S71" s="75">
        <f t="shared" si="2"/>
        <v>0</v>
      </c>
    </row>
    <row r="72" spans="1:19" s="124" customFormat="1" ht="42.75" hidden="1" customHeight="1" x14ac:dyDescent="0.25">
      <c r="A72" s="129" t="s">
        <v>307</v>
      </c>
      <c r="B72" s="129" t="s">
        <v>308</v>
      </c>
      <c r="C72" s="130"/>
      <c r="D72" s="131" t="s">
        <v>309</v>
      </c>
      <c r="E72" s="187">
        <f t="shared" si="13"/>
        <v>0</v>
      </c>
      <c r="F72" s="132">
        <f t="shared" ref="F72:O72" si="14">F73</f>
        <v>0</v>
      </c>
      <c r="G72" s="132">
        <f t="shared" si="14"/>
        <v>0</v>
      </c>
      <c r="H72" s="132">
        <f t="shared" si="14"/>
        <v>0</v>
      </c>
      <c r="I72" s="132">
        <f t="shared" si="14"/>
        <v>0</v>
      </c>
      <c r="J72" s="132">
        <f>J73</f>
        <v>0</v>
      </c>
      <c r="K72" s="132">
        <f t="shared" si="14"/>
        <v>0</v>
      </c>
      <c r="L72" s="132">
        <f t="shared" si="14"/>
        <v>0</v>
      </c>
      <c r="M72" s="132">
        <f t="shared" si="14"/>
        <v>0</v>
      </c>
      <c r="N72" s="132">
        <f t="shared" si="14"/>
        <v>0</v>
      </c>
      <c r="O72" s="132">
        <f t="shared" si="14"/>
        <v>0</v>
      </c>
      <c r="P72" s="132">
        <f>E72+J72</f>
        <v>0</v>
      </c>
      <c r="R72" s="134">
        <f t="shared" si="4"/>
        <v>0</v>
      </c>
      <c r="S72" s="135">
        <f t="shared" si="2"/>
        <v>0</v>
      </c>
    </row>
    <row r="73" spans="1:19" s="124" customFormat="1" ht="41.25" hidden="1" customHeight="1" x14ac:dyDescent="0.25">
      <c r="A73" s="129" t="s">
        <v>310</v>
      </c>
      <c r="B73" s="129"/>
      <c r="C73" s="130"/>
      <c r="D73" s="188" t="s">
        <v>311</v>
      </c>
      <c r="E73" s="187">
        <f t="shared" si="13"/>
        <v>0</v>
      </c>
      <c r="F73" s="132">
        <f>SUM(F74:F84)</f>
        <v>0</v>
      </c>
      <c r="G73" s="132">
        <f>SUM(G74:G84)</f>
        <v>0</v>
      </c>
      <c r="H73" s="132">
        <f>SUM(H74:H84)</f>
        <v>0</v>
      </c>
      <c r="I73" s="132">
        <f>SUM(I74:I84)</f>
        <v>0</v>
      </c>
      <c r="J73" s="132">
        <f>L73+O73</f>
        <v>0</v>
      </c>
      <c r="K73" s="132">
        <f>SUM(K74:K84)</f>
        <v>0</v>
      </c>
      <c r="L73" s="132">
        <f>SUM(L74:L84)</f>
        <v>0</v>
      </c>
      <c r="M73" s="132">
        <f>SUM(M74:M84)</f>
        <v>0</v>
      </c>
      <c r="N73" s="132">
        <f>SUM(N74:N84)</f>
        <v>0</v>
      </c>
      <c r="O73" s="132">
        <f>SUM(O74:O84)</f>
        <v>0</v>
      </c>
      <c r="P73" s="132">
        <f>E73+J73</f>
        <v>0</v>
      </c>
      <c r="R73" s="134">
        <f t="shared" si="4"/>
        <v>0</v>
      </c>
      <c r="S73" s="135">
        <f t="shared" si="2"/>
        <v>0</v>
      </c>
    </row>
    <row r="74" spans="1:19" ht="72" hidden="1" customHeight="1" x14ac:dyDescent="0.25">
      <c r="A74" s="189" t="s">
        <v>312</v>
      </c>
      <c r="B74" s="189" t="s">
        <v>147</v>
      </c>
      <c r="C74" s="190" t="s">
        <v>148</v>
      </c>
      <c r="D74" s="32" t="s">
        <v>149</v>
      </c>
      <c r="E74" s="169">
        <f t="shared" si="13"/>
        <v>0</v>
      </c>
      <c r="F74" s="169"/>
      <c r="G74" s="169"/>
      <c r="H74" s="169"/>
      <c r="I74" s="169"/>
      <c r="J74" s="138">
        <f>L74+O74</f>
        <v>0</v>
      </c>
      <c r="K74" s="138"/>
      <c r="L74" s="138"/>
      <c r="M74" s="138"/>
      <c r="N74" s="138"/>
      <c r="O74" s="138"/>
      <c r="P74" s="138">
        <f t="shared" si="7"/>
        <v>0</v>
      </c>
      <c r="R74" s="134">
        <f t="shared" si="4"/>
        <v>0</v>
      </c>
      <c r="S74" s="135">
        <f t="shared" si="2"/>
        <v>0</v>
      </c>
    </row>
    <row r="75" spans="1:19" ht="62.25" hidden="1" customHeight="1" x14ac:dyDescent="0.25">
      <c r="A75" s="140" t="s">
        <v>313</v>
      </c>
      <c r="B75" s="140" t="s">
        <v>151</v>
      </c>
      <c r="C75" s="141" t="s">
        <v>152</v>
      </c>
      <c r="D75" s="142" t="s">
        <v>153</v>
      </c>
      <c r="E75" s="169">
        <f t="shared" si="13"/>
        <v>0</v>
      </c>
      <c r="F75" s="169"/>
      <c r="G75" s="169"/>
      <c r="H75" s="169"/>
      <c r="I75" s="169"/>
      <c r="J75" s="138"/>
      <c r="K75" s="138"/>
      <c r="L75" s="138"/>
      <c r="M75" s="138"/>
      <c r="N75" s="138"/>
      <c r="O75" s="138"/>
      <c r="P75" s="138">
        <f t="shared" si="7"/>
        <v>0</v>
      </c>
      <c r="R75" s="134"/>
      <c r="S75" s="135"/>
    </row>
    <row r="76" spans="1:19" s="7" customFormat="1" hidden="1" x14ac:dyDescent="0.25">
      <c r="A76" s="140" t="s">
        <v>314</v>
      </c>
      <c r="B76" s="140" t="s">
        <v>315</v>
      </c>
      <c r="C76" s="141" t="s">
        <v>234</v>
      </c>
      <c r="D76" s="154" t="s">
        <v>316</v>
      </c>
      <c r="E76" s="147">
        <f t="shared" si="13"/>
        <v>0</v>
      </c>
      <c r="F76" s="147"/>
      <c r="G76" s="147"/>
      <c r="H76" s="147"/>
      <c r="I76" s="147"/>
      <c r="J76" s="143"/>
      <c r="K76" s="143"/>
      <c r="L76" s="143"/>
      <c r="M76" s="143"/>
      <c r="N76" s="143"/>
      <c r="O76" s="143"/>
      <c r="P76" s="143">
        <f t="shared" si="7"/>
        <v>0</v>
      </c>
      <c r="R76" s="145">
        <f t="shared" si="4"/>
        <v>0</v>
      </c>
      <c r="S76" s="75">
        <f t="shared" si="2"/>
        <v>0</v>
      </c>
    </row>
    <row r="77" spans="1:19" s="7" customFormat="1" ht="37.5" hidden="1" customHeight="1" x14ac:dyDescent="0.25">
      <c r="A77" s="140" t="s">
        <v>317</v>
      </c>
      <c r="B77" s="140" t="s">
        <v>318</v>
      </c>
      <c r="C77" s="141" t="s">
        <v>234</v>
      </c>
      <c r="D77" s="142" t="s">
        <v>319</v>
      </c>
      <c r="E77" s="147">
        <f t="shared" si="13"/>
        <v>0</v>
      </c>
      <c r="F77" s="147"/>
      <c r="G77" s="143"/>
      <c r="H77" s="143"/>
      <c r="I77" s="143"/>
      <c r="J77" s="143">
        <f>L77+O77</f>
        <v>0</v>
      </c>
      <c r="K77" s="143"/>
      <c r="L77" s="143"/>
      <c r="M77" s="143"/>
      <c r="N77" s="143"/>
      <c r="O77" s="143"/>
      <c r="P77" s="143">
        <f>E77+J77</f>
        <v>0</v>
      </c>
      <c r="R77" s="145">
        <f t="shared" si="4"/>
        <v>0</v>
      </c>
      <c r="S77" s="75">
        <f t="shared" si="2"/>
        <v>0</v>
      </c>
    </row>
    <row r="78" spans="1:19" s="7" customFormat="1" ht="48.75" hidden="1" customHeight="1" x14ac:dyDescent="0.25">
      <c r="A78" s="140" t="s">
        <v>320</v>
      </c>
      <c r="B78" s="140" t="s">
        <v>321</v>
      </c>
      <c r="C78" s="141" t="s">
        <v>234</v>
      </c>
      <c r="D78" s="142" t="s">
        <v>322</v>
      </c>
      <c r="E78" s="147">
        <f t="shared" si="13"/>
        <v>0</v>
      </c>
      <c r="F78" s="147"/>
      <c r="G78" s="143"/>
      <c r="H78" s="143"/>
      <c r="I78" s="143"/>
      <c r="J78" s="143"/>
      <c r="K78" s="143"/>
      <c r="L78" s="143"/>
      <c r="M78" s="143"/>
      <c r="N78" s="143"/>
      <c r="O78" s="143"/>
      <c r="P78" s="143">
        <f>E78+J78</f>
        <v>0</v>
      </c>
      <c r="R78" s="145">
        <f t="shared" si="4"/>
        <v>0</v>
      </c>
      <c r="S78" s="75">
        <f t="shared" si="2"/>
        <v>0</v>
      </c>
    </row>
    <row r="79" spans="1:19" s="7" customFormat="1" ht="47.25" hidden="1" x14ac:dyDescent="0.25">
      <c r="A79" s="140" t="s">
        <v>323</v>
      </c>
      <c r="B79" s="140" t="s">
        <v>324</v>
      </c>
      <c r="C79" s="141" t="s">
        <v>325</v>
      </c>
      <c r="D79" s="142" t="s">
        <v>326</v>
      </c>
      <c r="E79" s="147">
        <f t="shared" si="13"/>
        <v>0</v>
      </c>
      <c r="F79" s="147"/>
      <c r="G79" s="143"/>
      <c r="H79" s="143"/>
      <c r="I79" s="143"/>
      <c r="J79" s="143"/>
      <c r="K79" s="143"/>
      <c r="L79" s="143"/>
      <c r="M79" s="143"/>
      <c r="N79" s="143"/>
      <c r="O79" s="143"/>
      <c r="P79" s="143">
        <f>E79+J79</f>
        <v>0</v>
      </c>
      <c r="R79" s="145">
        <f t="shared" si="4"/>
        <v>0</v>
      </c>
      <c r="S79" s="75">
        <f t="shared" si="2"/>
        <v>0</v>
      </c>
    </row>
    <row r="80" spans="1:19" s="7" customFormat="1" ht="79.5" hidden="1" customHeight="1" x14ac:dyDescent="0.25">
      <c r="A80" s="140" t="s">
        <v>327</v>
      </c>
      <c r="B80" s="140" t="s">
        <v>328</v>
      </c>
      <c r="C80" s="141" t="s">
        <v>217</v>
      </c>
      <c r="D80" s="142" t="s">
        <v>329</v>
      </c>
      <c r="E80" s="147">
        <f t="shared" si="13"/>
        <v>0</v>
      </c>
      <c r="F80" s="147"/>
      <c r="G80" s="147"/>
      <c r="H80" s="147"/>
      <c r="I80" s="147"/>
      <c r="J80" s="147"/>
      <c r="K80" s="147"/>
      <c r="L80" s="147"/>
      <c r="M80" s="147"/>
      <c r="N80" s="147"/>
      <c r="O80" s="147"/>
      <c r="P80" s="143">
        <f t="shared" ref="P80:P120" si="15">E80+J80</f>
        <v>0</v>
      </c>
      <c r="R80" s="145">
        <f t="shared" si="4"/>
        <v>0</v>
      </c>
      <c r="S80" s="75">
        <f t="shared" si="2"/>
        <v>0</v>
      </c>
    </row>
    <row r="81" spans="1:19" s="7" customFormat="1" ht="28.5" hidden="1" customHeight="1" x14ac:dyDescent="0.25">
      <c r="A81" s="140" t="s">
        <v>330</v>
      </c>
      <c r="B81" s="140" t="s">
        <v>176</v>
      </c>
      <c r="C81" s="141" t="s">
        <v>177</v>
      </c>
      <c r="D81" s="142" t="s">
        <v>178</v>
      </c>
      <c r="E81" s="147">
        <f t="shared" si="13"/>
        <v>0</v>
      </c>
      <c r="F81" s="147"/>
      <c r="G81" s="143"/>
      <c r="H81" s="143"/>
      <c r="I81" s="143"/>
      <c r="J81" s="143">
        <f>L81+O81</f>
        <v>0</v>
      </c>
      <c r="K81" s="143"/>
      <c r="L81" s="143"/>
      <c r="M81" s="143"/>
      <c r="N81" s="143"/>
      <c r="O81" s="143"/>
      <c r="P81" s="143">
        <f t="shared" si="15"/>
        <v>0</v>
      </c>
      <c r="R81" s="145">
        <f t="shared" si="4"/>
        <v>0</v>
      </c>
      <c r="S81" s="73">
        <f t="shared" si="2"/>
        <v>0</v>
      </c>
    </row>
    <row r="82" spans="1:19" s="7" customFormat="1" ht="69.75" hidden="1" customHeight="1" x14ac:dyDescent="0.25">
      <c r="A82" s="140" t="s">
        <v>331</v>
      </c>
      <c r="B82" s="140" t="s">
        <v>332</v>
      </c>
      <c r="C82" s="141" t="s">
        <v>234</v>
      </c>
      <c r="D82" s="142" t="s">
        <v>333</v>
      </c>
      <c r="E82" s="147">
        <f t="shared" si="13"/>
        <v>0</v>
      </c>
      <c r="F82" s="147"/>
      <c r="G82" s="143"/>
      <c r="H82" s="143"/>
      <c r="I82" s="143"/>
      <c r="J82" s="143"/>
      <c r="K82" s="143"/>
      <c r="L82" s="143"/>
      <c r="M82" s="143"/>
      <c r="N82" s="143"/>
      <c r="O82" s="143"/>
      <c r="P82" s="143">
        <f>E82+J82</f>
        <v>0</v>
      </c>
      <c r="R82" s="145"/>
      <c r="S82" s="73"/>
    </row>
    <row r="83" spans="1:19" s="7" customFormat="1" ht="42.75" hidden="1" customHeight="1" x14ac:dyDescent="0.25">
      <c r="A83" s="140" t="s">
        <v>334</v>
      </c>
      <c r="B83" s="140" t="s">
        <v>180</v>
      </c>
      <c r="C83" s="141" t="s">
        <v>335</v>
      </c>
      <c r="D83" s="159" t="s">
        <v>182</v>
      </c>
      <c r="E83" s="147">
        <f t="shared" si="13"/>
        <v>0</v>
      </c>
      <c r="F83" s="147"/>
      <c r="G83" s="147"/>
      <c r="H83" s="147"/>
      <c r="I83" s="147"/>
      <c r="J83" s="143">
        <f>L83+O83</f>
        <v>0</v>
      </c>
      <c r="K83" s="147"/>
      <c r="L83" s="147"/>
      <c r="M83" s="147"/>
      <c r="N83" s="147"/>
      <c r="O83" s="147"/>
      <c r="P83" s="143">
        <f>E83+J83</f>
        <v>0</v>
      </c>
      <c r="R83" s="145">
        <f t="shared" si="4"/>
        <v>0</v>
      </c>
      <c r="S83" s="73">
        <f t="shared" si="2"/>
        <v>0</v>
      </c>
    </row>
    <row r="84" spans="1:19" s="7" customFormat="1" ht="94.5" hidden="1" x14ac:dyDescent="0.25">
      <c r="A84" s="140" t="s">
        <v>336</v>
      </c>
      <c r="B84" s="140" t="s">
        <v>195</v>
      </c>
      <c r="C84" s="146" t="s">
        <v>185</v>
      </c>
      <c r="D84" s="166" t="s">
        <v>196</v>
      </c>
      <c r="E84" s="147">
        <f>F84+I84</f>
        <v>0</v>
      </c>
      <c r="F84" s="147"/>
      <c r="G84" s="147"/>
      <c r="H84" s="147"/>
      <c r="I84" s="147"/>
      <c r="J84" s="143">
        <f>L84+O84</f>
        <v>0</v>
      </c>
      <c r="K84" s="147"/>
      <c r="L84" s="147"/>
      <c r="M84" s="147"/>
      <c r="N84" s="147"/>
      <c r="O84" s="147"/>
      <c r="P84" s="143">
        <f>E84+J84</f>
        <v>0</v>
      </c>
      <c r="R84" s="145">
        <f t="shared" si="4"/>
        <v>0</v>
      </c>
      <c r="S84" s="73">
        <f t="shared" si="2"/>
        <v>0</v>
      </c>
    </row>
    <row r="85" spans="1:19" s="124" customFormat="1" ht="46.5" customHeight="1" x14ac:dyDescent="0.25">
      <c r="A85" s="129" t="s">
        <v>337</v>
      </c>
      <c r="B85" s="129" t="s">
        <v>338</v>
      </c>
      <c r="C85" s="130"/>
      <c r="D85" s="131" t="s">
        <v>339</v>
      </c>
      <c r="E85" s="132">
        <f>E86</f>
        <v>30436475</v>
      </c>
      <c r="F85" s="132">
        <f>F86</f>
        <v>11103419</v>
      </c>
      <c r="G85" s="132">
        <f>G86</f>
        <v>1896765</v>
      </c>
      <c r="H85" s="132">
        <f>H86</f>
        <v>0</v>
      </c>
      <c r="I85" s="132">
        <f>I86</f>
        <v>19333056</v>
      </c>
      <c r="J85" s="187">
        <f t="shared" ref="J85:J108" si="16">L85+O85</f>
        <v>2450350</v>
      </c>
      <c r="K85" s="132">
        <f>K86</f>
        <v>2450350</v>
      </c>
      <c r="L85" s="132">
        <f>L86</f>
        <v>0</v>
      </c>
      <c r="M85" s="132">
        <f>M86</f>
        <v>0</v>
      </c>
      <c r="N85" s="132">
        <f>N86</f>
        <v>0</v>
      </c>
      <c r="O85" s="132">
        <f>O86</f>
        <v>2450350</v>
      </c>
      <c r="P85" s="132">
        <f>E85+J85</f>
        <v>32886825</v>
      </c>
      <c r="Q85" s="124">
        <v>2606165</v>
      </c>
      <c r="R85" s="134">
        <f>Q85+P85</f>
        <v>35492990</v>
      </c>
      <c r="S85" s="135">
        <f t="shared" si="2"/>
        <v>0</v>
      </c>
    </row>
    <row r="86" spans="1:19" s="124" customFormat="1" ht="47.25" customHeight="1" x14ac:dyDescent="0.25">
      <c r="A86" s="129" t="s">
        <v>340</v>
      </c>
      <c r="B86" s="129"/>
      <c r="C86" s="130"/>
      <c r="D86" s="131" t="s">
        <v>341</v>
      </c>
      <c r="E86" s="132">
        <f t="shared" ref="E86:E97" si="17">F86+I86</f>
        <v>30436475</v>
      </c>
      <c r="F86" s="132">
        <f>SUM(F87:F108)</f>
        <v>11103419</v>
      </c>
      <c r="G86" s="132">
        <f>SUM(G87:G108)</f>
        <v>1896765</v>
      </c>
      <c r="H86" s="132">
        <f>SUM(H87:H108)</f>
        <v>0</v>
      </c>
      <c r="I86" s="132">
        <f>SUM(I87:I108)</f>
        <v>19333056</v>
      </c>
      <c r="J86" s="187">
        <f>L86+O86</f>
        <v>2450350</v>
      </c>
      <c r="K86" s="132">
        <f>SUM(K87:K108)</f>
        <v>2450350</v>
      </c>
      <c r="L86" s="132">
        <f>SUM(L87:L108)</f>
        <v>0</v>
      </c>
      <c r="M86" s="132">
        <f>SUM(M87:M108)</f>
        <v>0</v>
      </c>
      <c r="N86" s="132">
        <f>SUM(N87:N108)</f>
        <v>0</v>
      </c>
      <c r="O86" s="132">
        <f>SUM(O87:O108)</f>
        <v>2450350</v>
      </c>
      <c r="P86" s="132">
        <f>E86+J86</f>
        <v>32886825</v>
      </c>
      <c r="Q86" s="174">
        <v>3759496</v>
      </c>
      <c r="R86" s="134">
        <f t="shared" si="4"/>
        <v>0</v>
      </c>
      <c r="S86" s="135">
        <f t="shared" si="2"/>
        <v>0</v>
      </c>
    </row>
    <row r="87" spans="1:19" ht="59.25" customHeight="1" x14ac:dyDescent="0.25">
      <c r="A87" s="136" t="s">
        <v>342</v>
      </c>
      <c r="B87" s="136" t="s">
        <v>147</v>
      </c>
      <c r="C87" s="137" t="s">
        <v>148</v>
      </c>
      <c r="D87" s="32" t="s">
        <v>149</v>
      </c>
      <c r="E87" s="169">
        <f t="shared" si="17"/>
        <v>2250071</v>
      </c>
      <c r="F87" s="169">
        <f>1896765+353306</f>
        <v>2250071</v>
      </c>
      <c r="G87" s="169">
        <v>1896765</v>
      </c>
      <c r="H87" s="169"/>
      <c r="I87" s="169"/>
      <c r="J87" s="169">
        <f t="shared" si="16"/>
        <v>0</v>
      </c>
      <c r="K87" s="169"/>
      <c r="L87" s="169"/>
      <c r="M87" s="169"/>
      <c r="N87" s="169"/>
      <c r="O87" s="169"/>
      <c r="P87" s="138">
        <f t="shared" si="15"/>
        <v>2250071</v>
      </c>
      <c r="Q87" s="6">
        <v>2300000</v>
      </c>
      <c r="R87" s="134">
        <f t="shared" si="4"/>
        <v>0</v>
      </c>
      <c r="S87" s="135">
        <f t="shared" si="2"/>
        <v>0</v>
      </c>
    </row>
    <row r="88" spans="1:19" ht="23.25" hidden="1" customHeight="1" x14ac:dyDescent="0.25">
      <c r="A88" s="136" t="s">
        <v>343</v>
      </c>
      <c r="B88" s="136" t="s">
        <v>151</v>
      </c>
      <c r="C88" s="137" t="s">
        <v>152</v>
      </c>
      <c r="D88" s="182" t="s">
        <v>153</v>
      </c>
      <c r="E88" s="169">
        <f t="shared" si="17"/>
        <v>0</v>
      </c>
      <c r="F88" s="169"/>
      <c r="G88" s="169"/>
      <c r="H88" s="169"/>
      <c r="I88" s="169"/>
      <c r="J88" s="169">
        <f>L88+O88</f>
        <v>0</v>
      </c>
      <c r="K88" s="169"/>
      <c r="L88" s="169"/>
      <c r="M88" s="169"/>
      <c r="N88" s="169"/>
      <c r="O88" s="169"/>
      <c r="P88" s="138">
        <f>E88+J88</f>
        <v>0</v>
      </c>
      <c r="R88" s="134">
        <f t="shared" si="4"/>
        <v>0</v>
      </c>
      <c r="S88" s="135">
        <f t="shared" si="2"/>
        <v>0</v>
      </c>
    </row>
    <row r="89" spans="1:19" s="7" customFormat="1" ht="29.25" hidden="1" customHeight="1" x14ac:dyDescent="0.25">
      <c r="A89" s="140" t="s">
        <v>344</v>
      </c>
      <c r="B89" s="140" t="s">
        <v>176</v>
      </c>
      <c r="C89" s="141" t="s">
        <v>177</v>
      </c>
      <c r="D89" s="142" t="s">
        <v>178</v>
      </c>
      <c r="E89" s="161">
        <f t="shared" si="17"/>
        <v>0</v>
      </c>
      <c r="F89" s="161"/>
      <c r="G89" s="161"/>
      <c r="H89" s="161"/>
      <c r="I89" s="161"/>
      <c r="J89" s="161">
        <f t="shared" si="16"/>
        <v>0</v>
      </c>
      <c r="K89" s="161"/>
      <c r="L89" s="161"/>
      <c r="M89" s="161"/>
      <c r="N89" s="161"/>
      <c r="O89" s="161"/>
      <c r="P89" s="161">
        <f t="shared" si="15"/>
        <v>0</v>
      </c>
      <c r="R89" s="145">
        <f t="shared" si="4"/>
        <v>0</v>
      </c>
      <c r="S89" s="73">
        <f t="shared" si="2"/>
        <v>0</v>
      </c>
    </row>
    <row r="90" spans="1:19" s="7" customFormat="1" ht="37.5" customHeight="1" x14ac:dyDescent="0.25">
      <c r="A90" s="140" t="s">
        <v>345</v>
      </c>
      <c r="B90" s="140" t="s">
        <v>346</v>
      </c>
      <c r="C90" s="155" t="s">
        <v>347</v>
      </c>
      <c r="D90" s="154" t="s">
        <v>348</v>
      </c>
      <c r="E90" s="143">
        <f t="shared" si="17"/>
        <v>8833056</v>
      </c>
      <c r="F90" s="143"/>
      <c r="G90" s="143"/>
      <c r="H90" s="143"/>
      <c r="I90" s="143">
        <f>6000000+2833056</f>
        <v>8833056</v>
      </c>
      <c r="J90" s="143">
        <f t="shared" si="16"/>
        <v>0</v>
      </c>
      <c r="K90" s="143"/>
      <c r="L90" s="143"/>
      <c r="M90" s="143"/>
      <c r="N90" s="143"/>
      <c r="O90" s="143"/>
      <c r="P90" s="143">
        <f>E90+J90</f>
        <v>8833056</v>
      </c>
      <c r="R90" s="145">
        <f t="shared" si="4"/>
        <v>0</v>
      </c>
      <c r="S90" s="73">
        <f>O90-K90</f>
        <v>0</v>
      </c>
    </row>
    <row r="91" spans="1:19" ht="29.25" hidden="1" customHeight="1" x14ac:dyDescent="0.25">
      <c r="A91" s="136" t="s">
        <v>349</v>
      </c>
      <c r="B91" s="136" t="s">
        <v>350</v>
      </c>
      <c r="C91" s="191" t="s">
        <v>347</v>
      </c>
      <c r="D91" s="186" t="s">
        <v>351</v>
      </c>
      <c r="E91" s="138">
        <f t="shared" si="17"/>
        <v>0</v>
      </c>
      <c r="F91" s="138"/>
      <c r="G91" s="138"/>
      <c r="H91" s="138"/>
      <c r="I91" s="138"/>
      <c r="J91" s="169">
        <f>L91+O91</f>
        <v>0</v>
      </c>
      <c r="K91" s="138"/>
      <c r="L91" s="138"/>
      <c r="M91" s="138"/>
      <c r="N91" s="138"/>
      <c r="O91" s="138"/>
      <c r="P91" s="138">
        <f>E91+J91</f>
        <v>0</v>
      </c>
      <c r="R91" s="134"/>
      <c r="S91" s="135"/>
    </row>
    <row r="92" spans="1:19" ht="31.5" hidden="1" x14ac:dyDescent="0.25">
      <c r="A92" s="136" t="s">
        <v>352</v>
      </c>
      <c r="B92" s="136" t="s">
        <v>353</v>
      </c>
      <c r="C92" s="191" t="s">
        <v>347</v>
      </c>
      <c r="D92" s="186" t="s">
        <v>354</v>
      </c>
      <c r="E92" s="138">
        <f t="shared" si="17"/>
        <v>0</v>
      </c>
      <c r="F92" s="138"/>
      <c r="G92" s="138"/>
      <c r="H92" s="138"/>
      <c r="I92" s="138"/>
      <c r="J92" s="169">
        <f>L92+O92</f>
        <v>0</v>
      </c>
      <c r="K92" s="138"/>
      <c r="L92" s="138"/>
      <c r="M92" s="138"/>
      <c r="N92" s="138"/>
      <c r="O92" s="138"/>
      <c r="P92" s="138">
        <f>E92+J92</f>
        <v>0</v>
      </c>
      <c r="R92" s="134"/>
      <c r="S92" s="135"/>
    </row>
    <row r="93" spans="1:19" ht="26.25" customHeight="1" x14ac:dyDescent="0.25">
      <c r="A93" s="136" t="s">
        <v>355</v>
      </c>
      <c r="B93" s="136" t="s">
        <v>356</v>
      </c>
      <c r="C93" s="137" t="s">
        <v>347</v>
      </c>
      <c r="D93" s="163" t="s">
        <v>357</v>
      </c>
      <c r="E93" s="138">
        <f t="shared" si="17"/>
        <v>13236644</v>
      </c>
      <c r="F93" s="169">
        <v>2736644</v>
      </c>
      <c r="G93" s="169"/>
      <c r="H93" s="169"/>
      <c r="I93" s="169">
        <v>10500000</v>
      </c>
      <c r="J93" s="169">
        <f>L93+O93</f>
        <v>0</v>
      </c>
      <c r="K93" s="138"/>
      <c r="L93" s="169"/>
      <c r="M93" s="169"/>
      <c r="N93" s="169"/>
      <c r="O93" s="138"/>
      <c r="P93" s="138">
        <f>E93+J93</f>
        <v>13236644</v>
      </c>
      <c r="R93" s="134">
        <f>K93-O93</f>
        <v>0</v>
      </c>
      <c r="S93" s="135">
        <f>O93-K93</f>
        <v>0</v>
      </c>
    </row>
    <row r="94" spans="1:19" s="7" customFormat="1" ht="90" hidden="1" customHeight="1" x14ac:dyDescent="0.25">
      <c r="A94" s="140" t="s">
        <v>358</v>
      </c>
      <c r="B94" s="140" t="s">
        <v>359</v>
      </c>
      <c r="C94" s="141" t="s">
        <v>360</v>
      </c>
      <c r="D94" s="159" t="s">
        <v>361</v>
      </c>
      <c r="E94" s="143">
        <f t="shared" si="17"/>
        <v>0</v>
      </c>
      <c r="F94" s="147">
        <v>0</v>
      </c>
      <c r="G94" s="147"/>
      <c r="H94" s="147"/>
      <c r="I94" s="147"/>
      <c r="J94" s="147">
        <f t="shared" si="16"/>
        <v>0</v>
      </c>
      <c r="K94" s="143"/>
      <c r="L94" s="147"/>
      <c r="M94" s="147"/>
      <c r="N94" s="147"/>
      <c r="O94" s="143"/>
      <c r="P94" s="143">
        <f t="shared" si="15"/>
        <v>0</v>
      </c>
      <c r="R94" s="145">
        <f t="shared" ref="R94:R135" si="18">K94-O94</f>
        <v>0</v>
      </c>
      <c r="S94" s="73">
        <f t="shared" ref="S94:S136" si="19">O94-K94</f>
        <v>0</v>
      </c>
    </row>
    <row r="95" spans="1:19" ht="32.25" customHeight="1" x14ac:dyDescent="0.25">
      <c r="A95" s="136" t="s">
        <v>362</v>
      </c>
      <c r="B95" s="136" t="s">
        <v>363</v>
      </c>
      <c r="C95" s="137" t="s">
        <v>360</v>
      </c>
      <c r="D95" s="163" t="s">
        <v>364</v>
      </c>
      <c r="E95" s="138">
        <f t="shared" si="17"/>
        <v>4000000</v>
      </c>
      <c r="F95" s="169">
        <v>4000000</v>
      </c>
      <c r="G95" s="169"/>
      <c r="H95" s="169"/>
      <c r="I95" s="169"/>
      <c r="J95" s="147">
        <f t="shared" si="16"/>
        <v>0</v>
      </c>
      <c r="K95" s="138"/>
      <c r="L95" s="169"/>
      <c r="M95" s="169"/>
      <c r="N95" s="169"/>
      <c r="O95" s="138"/>
      <c r="P95" s="138">
        <f t="shared" si="15"/>
        <v>4000000</v>
      </c>
      <c r="R95" s="134">
        <f t="shared" si="18"/>
        <v>0</v>
      </c>
      <c r="S95" s="135">
        <f t="shared" si="19"/>
        <v>0</v>
      </c>
    </row>
    <row r="96" spans="1:19" s="7" customFormat="1" ht="32.25" hidden="1" customHeight="1" x14ac:dyDescent="0.25">
      <c r="A96" s="136" t="s">
        <v>365</v>
      </c>
      <c r="B96" s="192" t="s">
        <v>366</v>
      </c>
      <c r="C96" s="192" t="s">
        <v>367</v>
      </c>
      <c r="D96" s="170" t="s">
        <v>368</v>
      </c>
      <c r="E96" s="143">
        <f t="shared" si="17"/>
        <v>0</v>
      </c>
      <c r="F96" s="193"/>
      <c r="G96" s="147"/>
      <c r="H96" s="147"/>
      <c r="I96" s="147"/>
      <c r="J96" s="147">
        <f t="shared" si="16"/>
        <v>0</v>
      </c>
      <c r="K96" s="143"/>
      <c r="L96" s="147"/>
      <c r="M96" s="147"/>
      <c r="N96" s="147"/>
      <c r="O96" s="143"/>
      <c r="P96" s="143">
        <f t="shared" si="15"/>
        <v>0</v>
      </c>
      <c r="R96" s="145">
        <f t="shared" si="18"/>
        <v>0</v>
      </c>
      <c r="S96" s="73">
        <f t="shared" si="19"/>
        <v>0</v>
      </c>
    </row>
    <row r="97" spans="1:19" ht="28.5" hidden="1" customHeight="1" x14ac:dyDescent="0.25">
      <c r="A97" s="192" t="s">
        <v>369</v>
      </c>
      <c r="B97" s="192" t="s">
        <v>370</v>
      </c>
      <c r="C97" s="194" t="s">
        <v>371</v>
      </c>
      <c r="D97" s="186" t="s">
        <v>372</v>
      </c>
      <c r="E97" s="138">
        <f t="shared" si="17"/>
        <v>0</v>
      </c>
      <c r="F97" s="169"/>
      <c r="G97" s="169"/>
      <c r="H97" s="169"/>
      <c r="I97" s="169"/>
      <c r="J97" s="147">
        <f t="shared" si="16"/>
        <v>0</v>
      </c>
      <c r="K97" s="138"/>
      <c r="L97" s="138"/>
      <c r="M97" s="138"/>
      <c r="N97" s="138"/>
      <c r="O97" s="138"/>
      <c r="P97" s="138">
        <f t="shared" si="15"/>
        <v>0</v>
      </c>
      <c r="R97" s="134">
        <f t="shared" si="18"/>
        <v>0</v>
      </c>
      <c r="S97" s="135">
        <f t="shared" si="19"/>
        <v>0</v>
      </c>
    </row>
    <row r="98" spans="1:19" s="7" customFormat="1" ht="42.75" hidden="1" customHeight="1" x14ac:dyDescent="0.25">
      <c r="A98" s="140" t="s">
        <v>373</v>
      </c>
      <c r="B98" s="141" t="s">
        <v>374</v>
      </c>
      <c r="C98" s="141" t="s">
        <v>371</v>
      </c>
      <c r="D98" s="195" t="s">
        <v>375</v>
      </c>
      <c r="E98" s="143"/>
      <c r="F98" s="147"/>
      <c r="G98" s="147"/>
      <c r="H98" s="147"/>
      <c r="I98" s="147"/>
      <c r="J98" s="147">
        <f t="shared" si="16"/>
        <v>0</v>
      </c>
      <c r="K98" s="143"/>
      <c r="L98" s="147"/>
      <c r="M98" s="147"/>
      <c r="N98" s="147"/>
      <c r="O98" s="143"/>
      <c r="P98" s="143">
        <f t="shared" si="15"/>
        <v>0</v>
      </c>
      <c r="R98" s="145">
        <f t="shared" si="18"/>
        <v>0</v>
      </c>
      <c r="S98" s="73">
        <f t="shared" si="19"/>
        <v>0</v>
      </c>
    </row>
    <row r="99" spans="1:19" s="7" customFormat="1" ht="36.75" hidden="1" customHeight="1" x14ac:dyDescent="0.25">
      <c r="A99" s="140" t="s">
        <v>376</v>
      </c>
      <c r="B99" s="146" t="s">
        <v>377</v>
      </c>
      <c r="C99" s="146" t="s">
        <v>371</v>
      </c>
      <c r="D99" s="171" t="s">
        <v>378</v>
      </c>
      <c r="E99" s="147">
        <f>F99+I99</f>
        <v>0</v>
      </c>
      <c r="F99" s="147"/>
      <c r="G99" s="147"/>
      <c r="H99" s="147"/>
      <c r="I99" s="147"/>
      <c r="J99" s="147">
        <f t="shared" si="16"/>
        <v>0</v>
      </c>
      <c r="K99" s="147"/>
      <c r="L99" s="147"/>
      <c r="M99" s="147"/>
      <c r="N99" s="147"/>
      <c r="O99" s="147"/>
      <c r="P99" s="143">
        <f>E99+J99</f>
        <v>0</v>
      </c>
      <c r="R99" s="145">
        <f t="shared" si="18"/>
        <v>0</v>
      </c>
      <c r="S99" s="73">
        <f t="shared" si="19"/>
        <v>0</v>
      </c>
    </row>
    <row r="100" spans="1:19" ht="46.5" customHeight="1" x14ac:dyDescent="0.25">
      <c r="A100" s="136" t="s">
        <v>379</v>
      </c>
      <c r="B100" s="136" t="s">
        <v>380</v>
      </c>
      <c r="C100" s="191" t="s">
        <v>381</v>
      </c>
      <c r="D100" s="186" t="s">
        <v>382</v>
      </c>
      <c r="E100" s="138">
        <f t="shared" ref="E100:E107" si="20">F100+I100</f>
        <v>2116704</v>
      </c>
      <c r="F100" s="169">
        <f>20263356-17824867-387785+66000</f>
        <v>2116704</v>
      </c>
      <c r="G100" s="169"/>
      <c r="H100" s="169"/>
      <c r="I100" s="169"/>
      <c r="J100" s="147">
        <f t="shared" si="16"/>
        <v>0</v>
      </c>
      <c r="K100" s="138"/>
      <c r="L100" s="169"/>
      <c r="M100" s="169"/>
      <c r="N100" s="169"/>
      <c r="O100" s="138"/>
      <c r="P100" s="138">
        <f t="shared" si="15"/>
        <v>2116704</v>
      </c>
      <c r="R100" s="134">
        <f t="shared" si="18"/>
        <v>0</v>
      </c>
      <c r="S100" s="135">
        <f t="shared" si="19"/>
        <v>0</v>
      </c>
    </row>
    <row r="101" spans="1:19" s="7" customFormat="1" ht="35.25" hidden="1" customHeight="1" x14ac:dyDescent="0.25">
      <c r="A101" s="140" t="s">
        <v>383</v>
      </c>
      <c r="B101" s="140" t="s">
        <v>384</v>
      </c>
      <c r="C101" s="141" t="s">
        <v>189</v>
      </c>
      <c r="D101" s="196" t="s">
        <v>385</v>
      </c>
      <c r="E101" s="143">
        <f t="shared" si="20"/>
        <v>0</v>
      </c>
      <c r="F101" s="143"/>
      <c r="G101" s="143"/>
      <c r="H101" s="143"/>
      <c r="I101" s="143"/>
      <c r="J101" s="147">
        <f t="shared" si="16"/>
        <v>0</v>
      </c>
      <c r="K101" s="143"/>
      <c r="L101" s="143"/>
      <c r="M101" s="143"/>
      <c r="N101" s="143"/>
      <c r="O101" s="143"/>
      <c r="P101" s="143">
        <f t="shared" si="15"/>
        <v>0</v>
      </c>
      <c r="R101" s="145">
        <f t="shared" si="18"/>
        <v>0</v>
      </c>
      <c r="S101" s="73">
        <f t="shared" si="19"/>
        <v>0</v>
      </c>
    </row>
    <row r="102" spans="1:19" s="7" customFormat="1" ht="37.5" hidden="1" customHeight="1" x14ac:dyDescent="0.25">
      <c r="A102" s="140" t="s">
        <v>386</v>
      </c>
      <c r="B102" s="146" t="s">
        <v>387</v>
      </c>
      <c r="C102" s="146" t="s">
        <v>185</v>
      </c>
      <c r="D102" s="142" t="s">
        <v>388</v>
      </c>
      <c r="E102" s="147">
        <f t="shared" si="20"/>
        <v>0</v>
      </c>
      <c r="F102" s="147"/>
      <c r="G102" s="147"/>
      <c r="H102" s="147"/>
      <c r="I102" s="147"/>
      <c r="J102" s="147">
        <f t="shared" si="16"/>
        <v>0</v>
      </c>
      <c r="K102" s="147"/>
      <c r="L102" s="147"/>
      <c r="M102" s="147"/>
      <c r="N102" s="147"/>
      <c r="O102" s="147"/>
      <c r="P102" s="143">
        <f>E102+J102</f>
        <v>0</v>
      </c>
      <c r="R102" s="145">
        <f t="shared" si="18"/>
        <v>0</v>
      </c>
      <c r="S102" s="73">
        <f t="shared" si="19"/>
        <v>0</v>
      </c>
    </row>
    <row r="103" spans="1:19" s="7" customFormat="1" ht="32.25" hidden="1" customHeight="1" x14ac:dyDescent="0.25">
      <c r="A103" s="140" t="s">
        <v>389</v>
      </c>
      <c r="B103" s="140" t="s">
        <v>198</v>
      </c>
      <c r="C103" s="141" t="s">
        <v>185</v>
      </c>
      <c r="D103" s="196" t="s">
        <v>199</v>
      </c>
      <c r="E103" s="161">
        <f t="shared" si="20"/>
        <v>0</v>
      </c>
      <c r="F103" s="161"/>
      <c r="G103" s="161"/>
      <c r="H103" s="161"/>
      <c r="I103" s="161"/>
      <c r="J103" s="174">
        <f t="shared" si="16"/>
        <v>0</v>
      </c>
      <c r="K103" s="161"/>
      <c r="L103" s="161"/>
      <c r="M103" s="161"/>
      <c r="N103" s="161"/>
      <c r="O103" s="161"/>
      <c r="P103" s="161">
        <f t="shared" si="15"/>
        <v>0</v>
      </c>
      <c r="R103" s="145">
        <f t="shared" si="18"/>
        <v>0</v>
      </c>
      <c r="S103" s="73">
        <f t="shared" si="19"/>
        <v>0</v>
      </c>
    </row>
    <row r="104" spans="1:19" s="7" customFormat="1" ht="32.25" customHeight="1" x14ac:dyDescent="0.25">
      <c r="A104" s="140" t="s">
        <v>390</v>
      </c>
      <c r="B104" s="140" t="s">
        <v>391</v>
      </c>
      <c r="C104" s="141" t="s">
        <v>185</v>
      </c>
      <c r="D104" s="196" t="s">
        <v>392</v>
      </c>
      <c r="E104" s="143">
        <f>F104+I104</f>
        <v>0</v>
      </c>
      <c r="F104" s="143"/>
      <c r="G104" s="143"/>
      <c r="H104" s="143"/>
      <c r="I104" s="143"/>
      <c r="J104" s="147">
        <f>L104+O104</f>
        <v>2450350</v>
      </c>
      <c r="K104" s="143">
        <f>22500000-6500000-9049650+3000000-7500000</f>
        <v>2450350</v>
      </c>
      <c r="L104" s="143"/>
      <c r="M104" s="143"/>
      <c r="N104" s="143"/>
      <c r="O104" s="143">
        <f>K104</f>
        <v>2450350</v>
      </c>
      <c r="P104" s="143">
        <f>E104+J104</f>
        <v>2450350</v>
      </c>
      <c r="R104" s="145"/>
      <c r="S104" s="73"/>
    </row>
    <row r="105" spans="1:19" s="7" customFormat="1" ht="32.25" hidden="1" customHeight="1" x14ac:dyDescent="0.25">
      <c r="A105" s="140" t="s">
        <v>393</v>
      </c>
      <c r="B105" s="165">
        <v>8110</v>
      </c>
      <c r="C105" s="146" t="s">
        <v>202</v>
      </c>
      <c r="D105" s="166" t="s">
        <v>203</v>
      </c>
      <c r="E105" s="143">
        <f t="shared" si="20"/>
        <v>0</v>
      </c>
      <c r="F105" s="143"/>
      <c r="G105" s="143"/>
      <c r="H105" s="143"/>
      <c r="I105" s="143"/>
      <c r="J105" s="147"/>
      <c r="K105" s="143"/>
      <c r="L105" s="143"/>
      <c r="M105" s="143"/>
      <c r="N105" s="143"/>
      <c r="O105" s="143"/>
      <c r="P105" s="143">
        <f t="shared" si="15"/>
        <v>0</v>
      </c>
      <c r="R105" s="145"/>
      <c r="S105" s="73"/>
    </row>
    <row r="106" spans="1:19" s="7" customFormat="1" ht="31.5" hidden="1" customHeight="1" x14ac:dyDescent="0.25">
      <c r="A106" s="140" t="s">
        <v>394</v>
      </c>
      <c r="B106" s="165">
        <v>8311</v>
      </c>
      <c r="C106" s="140" t="s">
        <v>395</v>
      </c>
      <c r="D106" s="154" t="s">
        <v>396</v>
      </c>
      <c r="E106" s="147">
        <f t="shared" si="20"/>
        <v>0</v>
      </c>
      <c r="F106" s="147"/>
      <c r="G106" s="147"/>
      <c r="H106" s="147"/>
      <c r="I106" s="147"/>
      <c r="J106" s="147">
        <f t="shared" si="16"/>
        <v>0</v>
      </c>
      <c r="K106" s="147"/>
      <c r="L106" s="147"/>
      <c r="M106" s="147"/>
      <c r="N106" s="147"/>
      <c r="O106" s="147"/>
      <c r="P106" s="143">
        <f t="shared" si="15"/>
        <v>0</v>
      </c>
      <c r="R106" s="145">
        <f t="shared" si="18"/>
        <v>0</v>
      </c>
      <c r="S106" s="73">
        <f t="shared" si="19"/>
        <v>0</v>
      </c>
    </row>
    <row r="107" spans="1:19" s="7" customFormat="1" ht="27" hidden="1" customHeight="1" x14ac:dyDescent="0.25">
      <c r="A107" s="140" t="s">
        <v>397</v>
      </c>
      <c r="B107" s="140" t="s">
        <v>398</v>
      </c>
      <c r="C107" s="141" t="s">
        <v>399</v>
      </c>
      <c r="D107" s="159" t="s">
        <v>400</v>
      </c>
      <c r="E107" s="161">
        <f t="shared" si="20"/>
        <v>0</v>
      </c>
      <c r="F107" s="161"/>
      <c r="G107" s="161"/>
      <c r="H107" s="161"/>
      <c r="I107" s="161"/>
      <c r="J107" s="174">
        <f t="shared" si="16"/>
        <v>0</v>
      </c>
      <c r="K107" s="161"/>
      <c r="L107" s="161"/>
      <c r="M107" s="161"/>
      <c r="N107" s="161"/>
      <c r="O107" s="161"/>
      <c r="P107" s="161">
        <f t="shared" si="15"/>
        <v>0</v>
      </c>
      <c r="R107" s="145">
        <f t="shared" si="18"/>
        <v>0</v>
      </c>
      <c r="S107" s="73">
        <f t="shared" si="19"/>
        <v>0</v>
      </c>
    </row>
    <row r="108" spans="1:19" s="7" customFormat="1" ht="120.75" hidden="1" customHeight="1" x14ac:dyDescent="0.25">
      <c r="A108" s="140" t="s">
        <v>401</v>
      </c>
      <c r="B108" s="140" t="s">
        <v>195</v>
      </c>
      <c r="C108" s="146" t="s">
        <v>185</v>
      </c>
      <c r="D108" s="166" t="s">
        <v>196</v>
      </c>
      <c r="E108" s="174"/>
      <c r="F108" s="174"/>
      <c r="G108" s="174"/>
      <c r="H108" s="174"/>
      <c r="I108" s="174"/>
      <c r="J108" s="174">
        <f t="shared" si="16"/>
        <v>0</v>
      </c>
      <c r="K108" s="174"/>
      <c r="L108" s="174"/>
      <c r="M108" s="174"/>
      <c r="N108" s="174"/>
      <c r="O108" s="174"/>
      <c r="P108" s="161">
        <f t="shared" si="15"/>
        <v>0</v>
      </c>
      <c r="R108" s="145">
        <f t="shared" si="18"/>
        <v>0</v>
      </c>
      <c r="S108" s="73">
        <f t="shared" si="19"/>
        <v>0</v>
      </c>
    </row>
    <row r="109" spans="1:19" s="124" customFormat="1" ht="56.25" customHeight="1" x14ac:dyDescent="0.25">
      <c r="A109" s="129" t="s">
        <v>402</v>
      </c>
      <c r="B109" s="129" t="s">
        <v>403</v>
      </c>
      <c r="C109" s="130"/>
      <c r="D109" s="197" t="s">
        <v>404</v>
      </c>
      <c r="E109" s="132">
        <f>F109+I109</f>
        <v>644228</v>
      </c>
      <c r="F109" s="132">
        <f t="shared" ref="F109:O109" si="21">F110</f>
        <v>644228</v>
      </c>
      <c r="G109" s="132">
        <f t="shared" si="21"/>
        <v>529143</v>
      </c>
      <c r="H109" s="132">
        <f t="shared" si="21"/>
        <v>0</v>
      </c>
      <c r="I109" s="132">
        <f t="shared" si="21"/>
        <v>0</v>
      </c>
      <c r="J109" s="132">
        <f t="shared" si="21"/>
        <v>0</v>
      </c>
      <c r="K109" s="132">
        <f t="shared" si="21"/>
        <v>1.0000000000000001E-5</v>
      </c>
      <c r="L109" s="132">
        <f t="shared" si="21"/>
        <v>0</v>
      </c>
      <c r="M109" s="132">
        <f t="shared" si="21"/>
        <v>0</v>
      </c>
      <c r="N109" s="132">
        <f t="shared" si="21"/>
        <v>0</v>
      </c>
      <c r="O109" s="132">
        <f t="shared" si="21"/>
        <v>1.0000000000000001E-5</v>
      </c>
      <c r="P109" s="132">
        <f>E109+J109</f>
        <v>644228</v>
      </c>
      <c r="Q109" s="124">
        <v>9763551</v>
      </c>
      <c r="R109" s="134">
        <f>P109+Q109</f>
        <v>10407779</v>
      </c>
      <c r="S109" s="135">
        <f t="shared" si="19"/>
        <v>0</v>
      </c>
    </row>
    <row r="110" spans="1:19" s="124" customFormat="1" ht="48" customHeight="1" x14ac:dyDescent="0.25">
      <c r="A110" s="129" t="s">
        <v>405</v>
      </c>
      <c r="B110" s="129"/>
      <c r="C110" s="130"/>
      <c r="D110" s="197" t="s">
        <v>406</v>
      </c>
      <c r="E110" s="132">
        <f t="shared" ref="E110:N110" si="22">SUM(E111:E125)</f>
        <v>644228</v>
      </c>
      <c r="F110" s="132">
        <f t="shared" si="22"/>
        <v>644228</v>
      </c>
      <c r="G110" s="132">
        <f t="shared" si="22"/>
        <v>529143</v>
      </c>
      <c r="H110" s="132">
        <f t="shared" si="22"/>
        <v>0</v>
      </c>
      <c r="I110" s="132">
        <f t="shared" si="22"/>
        <v>0</v>
      </c>
      <c r="J110" s="132">
        <f t="shared" si="22"/>
        <v>0</v>
      </c>
      <c r="K110" s="132">
        <f>SUM(K111:K125)+0.00001</f>
        <v>1.0000000000000001E-5</v>
      </c>
      <c r="L110" s="132">
        <f t="shared" si="22"/>
        <v>0</v>
      </c>
      <c r="M110" s="132">
        <f t="shared" si="22"/>
        <v>0</v>
      </c>
      <c r="N110" s="132">
        <f t="shared" si="22"/>
        <v>0</v>
      </c>
      <c r="O110" s="132">
        <f>SUM(O111:O125)+0.00001</f>
        <v>1.0000000000000001E-5</v>
      </c>
      <c r="P110" s="132">
        <f>E110+J110</f>
        <v>644228</v>
      </c>
      <c r="R110" s="134">
        <f t="shared" si="18"/>
        <v>0</v>
      </c>
      <c r="S110" s="135">
        <f t="shared" si="19"/>
        <v>0</v>
      </c>
    </row>
    <row r="111" spans="1:19" s="7" customFormat="1" ht="60.75" customHeight="1" x14ac:dyDescent="0.25">
      <c r="A111" s="140" t="s">
        <v>407</v>
      </c>
      <c r="B111" s="140" t="s">
        <v>147</v>
      </c>
      <c r="C111" s="141" t="s">
        <v>148</v>
      </c>
      <c r="D111" s="154" t="s">
        <v>149</v>
      </c>
      <c r="E111" s="198">
        <f>F111+I111</f>
        <v>644228</v>
      </c>
      <c r="F111" s="198">
        <f>529143+115085</f>
        <v>644228</v>
      </c>
      <c r="G111" s="198">
        <v>529143</v>
      </c>
      <c r="H111" s="198"/>
      <c r="I111" s="198"/>
      <c r="J111" s="199">
        <f>L111+O111</f>
        <v>0</v>
      </c>
      <c r="K111" s="199"/>
      <c r="L111" s="198"/>
      <c r="M111" s="198"/>
      <c r="N111" s="199"/>
      <c r="O111" s="199"/>
      <c r="P111" s="199">
        <f t="shared" si="15"/>
        <v>644228</v>
      </c>
      <c r="R111" s="145">
        <f t="shared" si="18"/>
        <v>0</v>
      </c>
      <c r="S111" s="73">
        <f t="shared" si="19"/>
        <v>0</v>
      </c>
    </row>
    <row r="112" spans="1:19" s="7" customFormat="1" ht="37.5" hidden="1" customHeight="1" x14ac:dyDescent="0.25">
      <c r="A112" s="140" t="s">
        <v>408</v>
      </c>
      <c r="B112" s="140" t="s">
        <v>221</v>
      </c>
      <c r="C112" s="141" t="s">
        <v>222</v>
      </c>
      <c r="D112" s="171" t="s">
        <v>223</v>
      </c>
      <c r="E112" s="147"/>
      <c r="F112" s="147"/>
      <c r="G112" s="147"/>
      <c r="H112" s="147"/>
      <c r="I112" s="147"/>
      <c r="J112" s="143">
        <f>L112+O112</f>
        <v>0</v>
      </c>
      <c r="K112" s="143"/>
      <c r="L112" s="147"/>
      <c r="M112" s="147"/>
      <c r="N112" s="143"/>
      <c r="O112" s="143"/>
      <c r="P112" s="138">
        <f t="shared" si="15"/>
        <v>0</v>
      </c>
      <c r="R112" s="145"/>
      <c r="S112" s="73"/>
    </row>
    <row r="113" spans="1:19" s="7" customFormat="1" ht="42.75" hidden="1" customHeight="1" x14ac:dyDescent="0.25">
      <c r="A113" s="140" t="s">
        <v>409</v>
      </c>
      <c r="B113" s="140" t="s">
        <v>160</v>
      </c>
      <c r="C113" s="146" t="s">
        <v>161</v>
      </c>
      <c r="D113" s="154" t="s">
        <v>162</v>
      </c>
      <c r="E113" s="174"/>
      <c r="F113" s="174"/>
      <c r="G113" s="174"/>
      <c r="H113" s="174"/>
      <c r="I113" s="174"/>
      <c r="J113" s="161"/>
      <c r="K113" s="161"/>
      <c r="L113" s="174"/>
      <c r="M113" s="174"/>
      <c r="N113" s="161"/>
      <c r="O113" s="161"/>
      <c r="P113" s="138">
        <f t="shared" si="15"/>
        <v>0</v>
      </c>
      <c r="R113" s="145"/>
      <c r="S113" s="73"/>
    </row>
    <row r="114" spans="1:19" s="7" customFormat="1" ht="58.5" hidden="1" customHeight="1" x14ac:dyDescent="0.25">
      <c r="A114" s="200">
        <v>1511171</v>
      </c>
      <c r="B114" s="201" t="s">
        <v>410</v>
      </c>
      <c r="C114" s="201" t="s">
        <v>242</v>
      </c>
      <c r="D114" s="202" t="s">
        <v>411</v>
      </c>
      <c r="E114" s="147">
        <f>F114+I114</f>
        <v>0</v>
      </c>
      <c r="F114" s="147"/>
      <c r="G114" s="147"/>
      <c r="H114" s="147"/>
      <c r="I114" s="147"/>
      <c r="J114" s="143">
        <f>L114+O114</f>
        <v>0</v>
      </c>
      <c r="K114" s="143"/>
      <c r="L114" s="147"/>
      <c r="M114" s="147"/>
      <c r="N114" s="143"/>
      <c r="O114" s="143"/>
      <c r="P114" s="143">
        <f t="shared" si="15"/>
        <v>0</v>
      </c>
      <c r="R114" s="145"/>
      <c r="S114" s="73"/>
    </row>
    <row r="115" spans="1:19" s="7" customFormat="1" ht="23.25" hidden="1" customHeight="1" x14ac:dyDescent="0.25">
      <c r="A115" s="140" t="s">
        <v>412</v>
      </c>
      <c r="B115" s="140" t="s">
        <v>356</v>
      </c>
      <c r="C115" s="141" t="s">
        <v>347</v>
      </c>
      <c r="D115" s="159" t="s">
        <v>357</v>
      </c>
      <c r="E115" s="147">
        <f>F115+I115</f>
        <v>0</v>
      </c>
      <c r="F115" s="147"/>
      <c r="G115" s="147"/>
      <c r="H115" s="147"/>
      <c r="I115" s="147"/>
      <c r="J115" s="143">
        <f>L115+O115</f>
        <v>0</v>
      </c>
      <c r="K115" s="143"/>
      <c r="L115" s="147"/>
      <c r="M115" s="147"/>
      <c r="N115" s="143"/>
      <c r="O115" s="143"/>
      <c r="P115" s="143">
        <f t="shared" si="15"/>
        <v>0</v>
      </c>
      <c r="R115" s="145">
        <f t="shared" si="18"/>
        <v>0</v>
      </c>
      <c r="S115" s="73">
        <f t="shared" si="19"/>
        <v>0</v>
      </c>
    </row>
    <row r="116" spans="1:19" s="7" customFormat="1" ht="26.25" hidden="1" customHeight="1" x14ac:dyDescent="0.25">
      <c r="A116" s="146" t="s">
        <v>413</v>
      </c>
      <c r="B116" s="146" t="s">
        <v>370</v>
      </c>
      <c r="C116" s="203" t="s">
        <v>371</v>
      </c>
      <c r="D116" s="154" t="s">
        <v>372</v>
      </c>
      <c r="E116" s="147">
        <f t="shared" ref="E116:E121" si="23">F116+I116</f>
        <v>0</v>
      </c>
      <c r="F116" s="147"/>
      <c r="G116" s="147"/>
      <c r="H116" s="147"/>
      <c r="I116" s="147"/>
      <c r="J116" s="143">
        <f>L116+O116</f>
        <v>0</v>
      </c>
      <c r="K116" s="143"/>
      <c r="L116" s="147"/>
      <c r="M116" s="147"/>
      <c r="N116" s="143"/>
      <c r="O116" s="143"/>
      <c r="P116" s="143">
        <f t="shared" si="15"/>
        <v>0</v>
      </c>
      <c r="R116" s="145">
        <f t="shared" si="18"/>
        <v>0</v>
      </c>
      <c r="S116" s="73"/>
    </row>
    <row r="117" spans="1:19" s="204" customFormat="1" ht="30.75" hidden="1" customHeight="1" x14ac:dyDescent="0.25">
      <c r="A117" s="136" t="s">
        <v>414</v>
      </c>
      <c r="B117" s="136" t="s">
        <v>415</v>
      </c>
      <c r="C117" s="137" t="s">
        <v>371</v>
      </c>
      <c r="D117" s="186" t="s">
        <v>416</v>
      </c>
      <c r="E117" s="169">
        <v>0</v>
      </c>
      <c r="F117" s="138"/>
      <c r="G117" s="138"/>
      <c r="H117" s="138"/>
      <c r="I117" s="138"/>
      <c r="J117" s="143">
        <f>L117+O117</f>
        <v>0</v>
      </c>
      <c r="K117" s="143"/>
      <c r="L117" s="138"/>
      <c r="M117" s="138"/>
      <c r="N117" s="138"/>
      <c r="O117" s="169">
        <f>K117</f>
        <v>0</v>
      </c>
      <c r="P117" s="138">
        <f t="shared" si="15"/>
        <v>0</v>
      </c>
      <c r="R117" s="134">
        <v>0</v>
      </c>
      <c r="S117" s="135">
        <v>0</v>
      </c>
    </row>
    <row r="118" spans="1:19" s="177" customFormat="1" ht="36" hidden="1" customHeight="1" x14ac:dyDescent="0.25">
      <c r="A118" s="140" t="s">
        <v>417</v>
      </c>
      <c r="B118" s="140" t="s">
        <v>418</v>
      </c>
      <c r="C118" s="141" t="s">
        <v>371</v>
      </c>
      <c r="D118" s="154" t="s">
        <v>419</v>
      </c>
      <c r="E118" s="147">
        <f t="shared" si="23"/>
        <v>0</v>
      </c>
      <c r="F118" s="143"/>
      <c r="G118" s="143"/>
      <c r="H118" s="143"/>
      <c r="I118" s="143"/>
      <c r="J118" s="143">
        <f t="shared" ref="J118:J125" si="24">L118+O118</f>
        <v>0</v>
      </c>
      <c r="K118" s="143">
        <f>O118</f>
        <v>0</v>
      </c>
      <c r="L118" s="143"/>
      <c r="M118" s="143"/>
      <c r="N118" s="143"/>
      <c r="O118" s="147"/>
      <c r="P118" s="143">
        <f t="shared" si="15"/>
        <v>0</v>
      </c>
      <c r="R118" s="145">
        <f t="shared" si="18"/>
        <v>0</v>
      </c>
      <c r="S118" s="73">
        <f t="shared" si="19"/>
        <v>0</v>
      </c>
    </row>
    <row r="119" spans="1:19" s="204" customFormat="1" ht="35.25" hidden="1" customHeight="1" x14ac:dyDescent="0.25">
      <c r="A119" s="136" t="s">
        <v>420</v>
      </c>
      <c r="B119" s="136" t="s">
        <v>421</v>
      </c>
      <c r="C119" s="137" t="s">
        <v>371</v>
      </c>
      <c r="D119" s="182" t="s">
        <v>422</v>
      </c>
      <c r="E119" s="169">
        <f t="shared" si="23"/>
        <v>0</v>
      </c>
      <c r="F119" s="138"/>
      <c r="G119" s="138"/>
      <c r="H119" s="138"/>
      <c r="I119" s="138"/>
      <c r="J119" s="138">
        <f t="shared" si="24"/>
        <v>0</v>
      </c>
      <c r="K119" s="169"/>
      <c r="L119" s="138"/>
      <c r="M119" s="138"/>
      <c r="N119" s="138"/>
      <c r="O119" s="169"/>
      <c r="P119" s="138">
        <f t="shared" si="15"/>
        <v>0</v>
      </c>
      <c r="R119" s="134">
        <f t="shared" si="18"/>
        <v>0</v>
      </c>
      <c r="S119" s="135">
        <f t="shared" si="19"/>
        <v>0</v>
      </c>
    </row>
    <row r="120" spans="1:19" s="204" customFormat="1" ht="43.5" hidden="1" customHeight="1" x14ac:dyDescent="0.25">
      <c r="A120" s="136" t="s">
        <v>423</v>
      </c>
      <c r="B120" s="136" t="s">
        <v>424</v>
      </c>
      <c r="C120" s="137" t="s">
        <v>371</v>
      </c>
      <c r="D120" s="182" t="s">
        <v>425</v>
      </c>
      <c r="E120" s="169">
        <f t="shared" si="23"/>
        <v>0</v>
      </c>
      <c r="F120" s="138"/>
      <c r="G120" s="138"/>
      <c r="H120" s="138"/>
      <c r="I120" s="138"/>
      <c r="J120" s="138">
        <f t="shared" si="24"/>
        <v>0</v>
      </c>
      <c r="K120" s="138"/>
      <c r="L120" s="138"/>
      <c r="M120" s="138"/>
      <c r="N120" s="138"/>
      <c r="O120" s="169"/>
      <c r="P120" s="138">
        <f t="shared" si="15"/>
        <v>0</v>
      </c>
      <c r="R120" s="134">
        <f t="shared" si="18"/>
        <v>0</v>
      </c>
      <c r="S120" s="135">
        <f t="shared" si="19"/>
        <v>0</v>
      </c>
    </row>
    <row r="121" spans="1:19" ht="36.75" hidden="1" customHeight="1" x14ac:dyDescent="0.25">
      <c r="A121" s="136" t="s">
        <v>426</v>
      </c>
      <c r="B121" s="137" t="s">
        <v>374</v>
      </c>
      <c r="C121" s="137" t="s">
        <v>371</v>
      </c>
      <c r="D121" s="205" t="s">
        <v>427</v>
      </c>
      <c r="E121" s="169">
        <f t="shared" si="23"/>
        <v>0</v>
      </c>
      <c r="F121" s="138"/>
      <c r="G121" s="138"/>
      <c r="H121" s="138"/>
      <c r="I121" s="138"/>
      <c r="J121" s="138">
        <f t="shared" si="24"/>
        <v>0</v>
      </c>
      <c r="K121" s="138"/>
      <c r="L121" s="138"/>
      <c r="M121" s="138"/>
      <c r="N121" s="138"/>
      <c r="O121" s="169"/>
      <c r="P121" s="138">
        <f>E121+J121</f>
        <v>0</v>
      </c>
      <c r="R121" s="134">
        <f t="shared" si="18"/>
        <v>0</v>
      </c>
      <c r="S121" s="135">
        <f>O121-K121</f>
        <v>0</v>
      </c>
    </row>
    <row r="122" spans="1:19" ht="36.75" hidden="1" customHeight="1" x14ac:dyDescent="0.25">
      <c r="A122" s="136" t="s">
        <v>428</v>
      </c>
      <c r="B122" s="192" t="s">
        <v>429</v>
      </c>
      <c r="C122" s="206" t="s">
        <v>371</v>
      </c>
      <c r="D122" s="205" t="s">
        <v>430</v>
      </c>
      <c r="E122" s="169">
        <f>F122+I122</f>
        <v>0</v>
      </c>
      <c r="F122" s="138"/>
      <c r="G122" s="138"/>
      <c r="H122" s="138"/>
      <c r="I122" s="138"/>
      <c r="J122" s="138">
        <f t="shared" si="24"/>
        <v>0</v>
      </c>
      <c r="K122" s="138"/>
      <c r="L122" s="138"/>
      <c r="M122" s="138"/>
      <c r="N122" s="138"/>
      <c r="O122" s="169"/>
      <c r="P122" s="138">
        <f>E122+J122</f>
        <v>0</v>
      </c>
      <c r="R122" s="134"/>
      <c r="S122" s="135"/>
    </row>
    <row r="123" spans="1:19" ht="36.75" hidden="1" customHeight="1" x14ac:dyDescent="0.25">
      <c r="A123" s="140" t="s">
        <v>431</v>
      </c>
      <c r="B123" s="207" t="s">
        <v>432</v>
      </c>
      <c r="C123" s="208" t="s">
        <v>381</v>
      </c>
      <c r="D123" s="209" t="s">
        <v>433</v>
      </c>
      <c r="E123" s="138">
        <f>F123+I123</f>
        <v>0</v>
      </c>
      <c r="F123" s="169"/>
      <c r="G123" s="169"/>
      <c r="H123" s="169"/>
      <c r="I123" s="169"/>
      <c r="J123" s="169">
        <f>L123+O123</f>
        <v>0</v>
      </c>
      <c r="K123" s="138"/>
      <c r="L123" s="169"/>
      <c r="M123" s="169"/>
      <c r="N123" s="169"/>
      <c r="O123" s="169"/>
      <c r="P123" s="138">
        <f>E123+J123</f>
        <v>0</v>
      </c>
      <c r="R123" s="134"/>
      <c r="S123" s="135"/>
    </row>
    <row r="124" spans="1:19" ht="36.75" hidden="1" customHeight="1" x14ac:dyDescent="0.25">
      <c r="A124" s="136" t="s">
        <v>434</v>
      </c>
      <c r="B124" s="136" t="s">
        <v>380</v>
      </c>
      <c r="C124" s="191" t="s">
        <v>381</v>
      </c>
      <c r="D124" s="32" t="s">
        <v>382</v>
      </c>
      <c r="E124" s="138">
        <f>F124+I124</f>
        <v>0</v>
      </c>
      <c r="F124" s="169"/>
      <c r="G124" s="169"/>
      <c r="H124" s="169"/>
      <c r="I124" s="169"/>
      <c r="J124" s="169">
        <f t="shared" si="24"/>
        <v>0</v>
      </c>
      <c r="K124" s="138"/>
      <c r="L124" s="169"/>
      <c r="M124" s="169"/>
      <c r="N124" s="169"/>
      <c r="O124" s="169"/>
      <c r="P124" s="138">
        <f>E124+J124</f>
        <v>0</v>
      </c>
      <c r="R124" s="134"/>
      <c r="S124" s="135"/>
    </row>
    <row r="125" spans="1:19" ht="49.5" hidden="1" customHeight="1" x14ac:dyDescent="0.25">
      <c r="A125" s="136" t="s">
        <v>435</v>
      </c>
      <c r="B125" s="136" t="s">
        <v>436</v>
      </c>
      <c r="C125" s="191" t="s">
        <v>381</v>
      </c>
      <c r="D125" s="32" t="s">
        <v>437</v>
      </c>
      <c r="E125" s="138">
        <f>F125+I125</f>
        <v>0</v>
      </c>
      <c r="F125" s="169"/>
      <c r="G125" s="169"/>
      <c r="H125" s="169"/>
      <c r="I125" s="169"/>
      <c r="J125" s="169">
        <f t="shared" si="24"/>
        <v>0</v>
      </c>
      <c r="K125" s="138"/>
      <c r="L125" s="169"/>
      <c r="M125" s="169"/>
      <c r="N125" s="169"/>
      <c r="O125" s="138"/>
      <c r="P125" s="138">
        <f>E125+J125</f>
        <v>0</v>
      </c>
      <c r="R125" s="134"/>
      <c r="S125" s="135"/>
    </row>
    <row r="126" spans="1:19" s="214" customFormat="1" ht="31.5" x14ac:dyDescent="0.25">
      <c r="A126" s="210" t="s">
        <v>438</v>
      </c>
      <c r="B126" s="210" t="s">
        <v>439</v>
      </c>
      <c r="C126" s="211"/>
      <c r="D126" s="212" t="s">
        <v>440</v>
      </c>
      <c r="E126" s="213">
        <f>E127</f>
        <v>10246794</v>
      </c>
      <c r="F126" s="213">
        <f t="shared" ref="F126:O126" si="25">F127</f>
        <v>10246794</v>
      </c>
      <c r="G126" s="213">
        <f t="shared" si="25"/>
        <v>185570</v>
      </c>
      <c r="H126" s="213">
        <f t="shared" si="25"/>
        <v>0</v>
      </c>
      <c r="I126" s="213">
        <f t="shared" si="25"/>
        <v>0</v>
      </c>
      <c r="J126" s="213">
        <f t="shared" si="25"/>
        <v>0</v>
      </c>
      <c r="K126" s="213">
        <f t="shared" si="25"/>
        <v>0</v>
      </c>
      <c r="L126" s="213">
        <f t="shared" si="25"/>
        <v>0</v>
      </c>
      <c r="M126" s="213">
        <f t="shared" si="25"/>
        <v>0</v>
      </c>
      <c r="N126" s="213">
        <f t="shared" si="25"/>
        <v>0</v>
      </c>
      <c r="O126" s="213">
        <f t="shared" si="25"/>
        <v>0</v>
      </c>
      <c r="P126" s="213">
        <f t="shared" ref="P126:P134" si="26">E126+J126</f>
        <v>10246794</v>
      </c>
      <c r="R126" s="145">
        <f t="shared" si="18"/>
        <v>0</v>
      </c>
      <c r="S126" s="73">
        <f>160600+415500</f>
        <v>576100</v>
      </c>
    </row>
    <row r="127" spans="1:19" s="214" customFormat="1" ht="41.25" customHeight="1" x14ac:dyDescent="0.25">
      <c r="A127" s="210" t="s">
        <v>441</v>
      </c>
      <c r="B127" s="210"/>
      <c r="C127" s="211"/>
      <c r="D127" s="212" t="s">
        <v>442</v>
      </c>
      <c r="E127" s="213">
        <f>SUM(E128:E133)</f>
        <v>10246794</v>
      </c>
      <c r="F127" s="213">
        <f t="shared" ref="F127:P127" si="27">SUM(F128:F133)</f>
        <v>10246794</v>
      </c>
      <c r="G127" s="213">
        <f t="shared" si="27"/>
        <v>185570</v>
      </c>
      <c r="H127" s="213">
        <f t="shared" si="27"/>
        <v>0</v>
      </c>
      <c r="I127" s="213">
        <f t="shared" si="27"/>
        <v>0</v>
      </c>
      <c r="J127" s="213">
        <f t="shared" si="27"/>
        <v>0</v>
      </c>
      <c r="K127" s="213">
        <f t="shared" si="27"/>
        <v>0</v>
      </c>
      <c r="L127" s="213">
        <f t="shared" si="27"/>
        <v>0</v>
      </c>
      <c r="M127" s="213">
        <f t="shared" si="27"/>
        <v>0</v>
      </c>
      <c r="N127" s="213">
        <f t="shared" si="27"/>
        <v>0</v>
      </c>
      <c r="O127" s="213">
        <f t="shared" si="27"/>
        <v>0</v>
      </c>
      <c r="P127" s="213">
        <f t="shared" si="27"/>
        <v>10246794</v>
      </c>
      <c r="R127" s="145">
        <f t="shared" si="18"/>
        <v>0</v>
      </c>
      <c r="S127" s="73">
        <f>S135-S128</f>
        <v>-942500</v>
      </c>
    </row>
    <row r="128" spans="1:19" s="7" customFormat="1" ht="47.25" x14ac:dyDescent="0.25">
      <c r="A128" s="140" t="s">
        <v>443</v>
      </c>
      <c r="B128" s="140" t="s">
        <v>147</v>
      </c>
      <c r="C128" s="141" t="s">
        <v>148</v>
      </c>
      <c r="D128" s="215" t="s">
        <v>149</v>
      </c>
      <c r="E128" s="147">
        <f t="shared" ref="E128:E133" si="28">F128+I128</f>
        <v>246794</v>
      </c>
      <c r="F128" s="147">
        <f>185570+61224</f>
        <v>246794</v>
      </c>
      <c r="G128" s="147">
        <v>185570</v>
      </c>
      <c r="H128" s="147"/>
      <c r="I128" s="147"/>
      <c r="J128" s="143">
        <f>L128+O128</f>
        <v>0</v>
      </c>
      <c r="K128" s="143"/>
      <c r="L128" s="143"/>
      <c r="M128" s="143"/>
      <c r="N128" s="143"/>
      <c r="O128" s="143"/>
      <c r="P128" s="143">
        <f t="shared" si="26"/>
        <v>246794</v>
      </c>
      <c r="R128" s="145">
        <f t="shared" si="18"/>
        <v>0</v>
      </c>
      <c r="S128" s="73">
        <f>925000+17500</f>
        <v>942500</v>
      </c>
    </row>
    <row r="129" spans="1:19" s="7" customFormat="1" ht="122.25" hidden="1" customHeight="1" x14ac:dyDescent="0.25">
      <c r="A129" s="140" t="s">
        <v>444</v>
      </c>
      <c r="B129" s="140" t="s">
        <v>195</v>
      </c>
      <c r="C129" s="146" t="s">
        <v>185</v>
      </c>
      <c r="D129" s="166" t="s">
        <v>196</v>
      </c>
      <c r="E129" s="147">
        <f t="shared" si="28"/>
        <v>0</v>
      </c>
      <c r="F129" s="147"/>
      <c r="G129" s="147"/>
      <c r="H129" s="147"/>
      <c r="I129" s="147"/>
      <c r="J129" s="143">
        <f>L129+O129</f>
        <v>0</v>
      </c>
      <c r="K129" s="147"/>
      <c r="L129" s="147"/>
      <c r="M129" s="147"/>
      <c r="N129" s="147"/>
      <c r="O129" s="147"/>
      <c r="P129" s="143">
        <f>E129+J129</f>
        <v>0</v>
      </c>
      <c r="R129" s="145">
        <f t="shared" si="18"/>
        <v>0</v>
      </c>
      <c r="S129" s="73">
        <f>O129-K129</f>
        <v>0</v>
      </c>
    </row>
    <row r="130" spans="1:19" s="7" customFormat="1" ht="28.5" hidden="1" customHeight="1" x14ac:dyDescent="0.25">
      <c r="A130" s="136" t="s">
        <v>445</v>
      </c>
      <c r="B130" s="136" t="s">
        <v>446</v>
      </c>
      <c r="C130" s="192" t="s">
        <v>447</v>
      </c>
      <c r="D130" s="170" t="s">
        <v>448</v>
      </c>
      <c r="E130" s="198">
        <f t="shared" si="28"/>
        <v>0</v>
      </c>
      <c r="F130" s="198"/>
      <c r="G130" s="198"/>
      <c r="H130" s="198"/>
      <c r="I130" s="198"/>
      <c r="J130" s="199">
        <f>L130+O130</f>
        <v>0</v>
      </c>
      <c r="K130" s="199"/>
      <c r="L130" s="199"/>
      <c r="M130" s="199"/>
      <c r="N130" s="199"/>
      <c r="O130" s="199"/>
      <c r="P130" s="199">
        <f t="shared" si="26"/>
        <v>0</v>
      </c>
      <c r="R130" s="145">
        <f t="shared" si="18"/>
        <v>0</v>
      </c>
      <c r="S130" s="73">
        <f t="shared" si="19"/>
        <v>0</v>
      </c>
    </row>
    <row r="131" spans="1:19" s="7" customFormat="1" ht="19.5" hidden="1" customHeight="1" x14ac:dyDescent="0.25">
      <c r="A131" s="140" t="s">
        <v>449</v>
      </c>
      <c r="B131" s="140" t="s">
        <v>450</v>
      </c>
      <c r="C131" s="141" t="s">
        <v>152</v>
      </c>
      <c r="D131" s="171" t="s">
        <v>451</v>
      </c>
      <c r="E131" s="174">
        <f t="shared" si="28"/>
        <v>0</v>
      </c>
      <c r="F131" s="174"/>
      <c r="G131" s="161"/>
      <c r="H131" s="161"/>
      <c r="I131" s="161"/>
      <c r="J131" s="161"/>
      <c r="K131" s="161">
        <v>0</v>
      </c>
      <c r="L131" s="161"/>
      <c r="M131" s="161"/>
      <c r="N131" s="161"/>
      <c r="O131" s="161"/>
      <c r="P131" s="161">
        <f t="shared" si="26"/>
        <v>0</v>
      </c>
      <c r="R131" s="145">
        <f t="shared" si="18"/>
        <v>0</v>
      </c>
      <c r="S131" s="73">
        <f t="shared" si="19"/>
        <v>0</v>
      </c>
    </row>
    <row r="132" spans="1:19" s="7" customFormat="1" ht="19.5" hidden="1" customHeight="1" x14ac:dyDescent="0.25">
      <c r="A132" s="140" t="s">
        <v>452</v>
      </c>
      <c r="B132" s="140" t="s">
        <v>453</v>
      </c>
      <c r="C132" s="141" t="s">
        <v>151</v>
      </c>
      <c r="D132" s="171" t="s">
        <v>454</v>
      </c>
      <c r="E132" s="174">
        <f t="shared" si="28"/>
        <v>0</v>
      </c>
      <c r="F132" s="161"/>
      <c r="G132" s="216"/>
      <c r="H132" s="216"/>
      <c r="I132" s="216"/>
      <c r="J132" s="161">
        <f>L132+O132</f>
        <v>0</v>
      </c>
      <c r="K132" s="216"/>
      <c r="L132" s="216"/>
      <c r="M132" s="216"/>
      <c r="N132" s="216"/>
      <c r="O132" s="216"/>
      <c r="P132" s="161">
        <f>E132+J132</f>
        <v>0</v>
      </c>
      <c r="R132" s="145">
        <f>K132-O132</f>
        <v>0</v>
      </c>
      <c r="S132" s="73">
        <f>O132-K132</f>
        <v>0</v>
      </c>
    </row>
    <row r="133" spans="1:19" s="7" customFormat="1" ht="26.25" customHeight="1" x14ac:dyDescent="0.25">
      <c r="A133" s="140" t="s">
        <v>455</v>
      </c>
      <c r="B133" s="140" t="s">
        <v>456</v>
      </c>
      <c r="C133" s="141" t="s">
        <v>151</v>
      </c>
      <c r="D133" s="171" t="s">
        <v>108</v>
      </c>
      <c r="E133" s="147">
        <f t="shared" si="28"/>
        <v>10000000</v>
      </c>
      <c r="F133" s="143">
        <v>10000000</v>
      </c>
      <c r="G133" s="217"/>
      <c r="H133" s="217"/>
      <c r="I133" s="217"/>
      <c r="J133" s="143">
        <f>L133+O133</f>
        <v>0</v>
      </c>
      <c r="K133" s="217"/>
      <c r="L133" s="217"/>
      <c r="M133" s="217"/>
      <c r="N133" s="217"/>
      <c r="O133" s="217"/>
      <c r="P133" s="143">
        <f t="shared" si="26"/>
        <v>10000000</v>
      </c>
      <c r="R133" s="145">
        <f t="shared" si="18"/>
        <v>0</v>
      </c>
      <c r="S133" s="73">
        <f t="shared" si="19"/>
        <v>0</v>
      </c>
    </row>
    <row r="134" spans="1:19" s="7" customFormat="1" ht="189" x14ac:dyDescent="0.25">
      <c r="A134" s="140"/>
      <c r="B134" s="140"/>
      <c r="C134" s="141"/>
      <c r="D134" s="218" t="s">
        <v>827</v>
      </c>
      <c r="E134" s="178">
        <v>10000000</v>
      </c>
      <c r="F134" s="179">
        <v>10000000</v>
      </c>
      <c r="G134" s="219"/>
      <c r="H134" s="219"/>
      <c r="I134" s="219"/>
      <c r="J134" s="143">
        <f>L134+O134</f>
        <v>0</v>
      </c>
      <c r="K134" s="219"/>
      <c r="L134" s="219"/>
      <c r="M134" s="219"/>
      <c r="N134" s="219"/>
      <c r="O134" s="219"/>
      <c r="P134" s="179">
        <f t="shared" si="26"/>
        <v>10000000</v>
      </c>
      <c r="R134" s="145"/>
      <c r="S134" s="73"/>
    </row>
    <row r="135" spans="1:19" s="124" customFormat="1" ht="21" customHeight="1" x14ac:dyDescent="0.25">
      <c r="A135" s="220"/>
      <c r="B135" s="220"/>
      <c r="C135" s="220"/>
      <c r="D135" s="221" t="s">
        <v>457</v>
      </c>
      <c r="E135" s="222">
        <f t="shared" ref="E135:O135" si="29">E12+E35+E72+E85+E109+E126+0.0000001</f>
        <v>75005650.000000104</v>
      </c>
      <c r="F135" s="222">
        <f t="shared" si="29"/>
        <v>55672594.000000097</v>
      </c>
      <c r="G135" s="222">
        <f t="shared" si="29"/>
        <v>8862633.0000001006</v>
      </c>
      <c r="H135" s="222">
        <f t="shared" si="29"/>
        <v>9.9999999999999995E-8</v>
      </c>
      <c r="I135" s="222">
        <f t="shared" si="29"/>
        <v>19333056.000000101</v>
      </c>
      <c r="J135" s="222">
        <f t="shared" si="29"/>
        <v>27494350.000000101</v>
      </c>
      <c r="K135" s="222">
        <f t="shared" si="29"/>
        <v>27494350.000010099</v>
      </c>
      <c r="L135" s="222">
        <f t="shared" si="29"/>
        <v>9.9999999999999995E-8</v>
      </c>
      <c r="M135" s="222">
        <f t="shared" si="29"/>
        <v>9.9999999999999995E-8</v>
      </c>
      <c r="N135" s="222">
        <f t="shared" si="29"/>
        <v>9.9999999999999995E-8</v>
      </c>
      <c r="O135" s="222">
        <f t="shared" si="29"/>
        <v>27494350.000010099</v>
      </c>
      <c r="P135" s="222">
        <f>P12+P35+P72+P85+P109+P126+0.00001</f>
        <v>102500000.00001</v>
      </c>
      <c r="Q135" s="230">
        <f>'dod 1 '!C116-'dod 2'!P135</f>
        <v>-9.9986791610717773E-6</v>
      </c>
      <c r="R135" s="134">
        <f t="shared" si="18"/>
        <v>0</v>
      </c>
      <c r="S135" s="135">
        <f t="shared" si="19"/>
        <v>0</v>
      </c>
    </row>
    <row r="136" spans="1:19" s="8" customFormat="1" ht="18" hidden="1" customHeight="1" x14ac:dyDescent="0.25">
      <c r="A136" s="223"/>
      <c r="B136" s="223"/>
      <c r="C136" s="224"/>
      <c r="D136" s="225"/>
      <c r="E136" s="226"/>
      <c r="F136" s="227"/>
      <c r="G136" s="227"/>
      <c r="H136" s="228"/>
      <c r="I136" s="227"/>
      <c r="J136" s="229"/>
      <c r="K136" s="228"/>
      <c r="L136" s="228"/>
      <c r="M136" s="228"/>
      <c r="N136" s="227"/>
      <c r="O136" s="227"/>
      <c r="P136" s="227"/>
      <c r="S136" s="73">
        <f t="shared" si="19"/>
        <v>0</v>
      </c>
    </row>
    <row r="137" spans="1:19" ht="10.5" customHeight="1" x14ac:dyDescent="0.25"/>
    <row r="138" spans="1:19" x14ac:dyDescent="0.25">
      <c r="E138" s="230"/>
      <c r="J138" s="230"/>
      <c r="K138" s="231"/>
      <c r="N138" s="135"/>
      <c r="P138" s="231"/>
    </row>
    <row r="139" spans="1:19" x14ac:dyDescent="0.25">
      <c r="E139" s="230"/>
      <c r="F139" s="231"/>
      <c r="H139" s="231"/>
      <c r="J139" s="230"/>
      <c r="K139" s="231"/>
      <c r="P139" s="231"/>
    </row>
    <row r="140" spans="1:19" s="8" customFormat="1" ht="35.25" customHeight="1" x14ac:dyDescent="0.25">
      <c r="A140" s="232"/>
      <c r="B140" s="232"/>
      <c r="D140" s="72" t="s">
        <v>727</v>
      </c>
      <c r="E140" s="60"/>
      <c r="I140" s="73"/>
      <c r="J140" s="233"/>
      <c r="K140" s="73" t="s">
        <v>728</v>
      </c>
      <c r="L140" s="73"/>
      <c r="N140" s="73"/>
      <c r="P140" s="73"/>
      <c r="S140" s="73" t="e">
        <f>O140-K140</f>
        <v>#VALUE!</v>
      </c>
    </row>
    <row r="141" spans="1:19" x14ac:dyDescent="0.25">
      <c r="E141" s="230"/>
      <c r="H141" s="231"/>
      <c r="J141" s="230"/>
      <c r="L141" s="135"/>
      <c r="P141" s="231"/>
    </row>
    <row r="142" spans="1:19" hidden="1" x14ac:dyDescent="0.25">
      <c r="E142" s="230"/>
      <c r="F142" s="231"/>
      <c r="J142" s="234"/>
      <c r="L142" s="135"/>
      <c r="P142" s="231"/>
    </row>
    <row r="143" spans="1:19" hidden="1" x14ac:dyDescent="0.25">
      <c r="E143" s="168">
        <v>4776696</v>
      </c>
      <c r="F143" s="168">
        <v>80000</v>
      </c>
      <c r="G143" s="168">
        <v>0</v>
      </c>
      <c r="H143" s="168">
        <v>726809</v>
      </c>
      <c r="I143" s="168">
        <v>4696696</v>
      </c>
      <c r="J143" s="168">
        <v>-4776696</v>
      </c>
      <c r="K143" s="168">
        <v>-4776696</v>
      </c>
      <c r="L143" s="168">
        <v>0</v>
      </c>
      <c r="M143" s="168">
        <v>0</v>
      </c>
      <c r="N143" s="168">
        <v>0</v>
      </c>
      <c r="O143" s="168">
        <v>-4776696</v>
      </c>
      <c r="P143" s="168">
        <v>0</v>
      </c>
    </row>
    <row r="144" spans="1:19" hidden="1" x14ac:dyDescent="0.25">
      <c r="E144" s="234">
        <f>E135-E143</f>
        <v>70228954.000000104</v>
      </c>
      <c r="F144" s="234">
        <f t="shared" ref="F144:P144" si="30">F135-F143</f>
        <v>55592594.000000097</v>
      </c>
      <c r="G144" s="234">
        <f t="shared" si="30"/>
        <v>8862633.0000001006</v>
      </c>
      <c r="H144" s="234">
        <f t="shared" si="30"/>
        <v>-726808.9999999</v>
      </c>
      <c r="I144" s="234">
        <f t="shared" si="30"/>
        <v>14636360.000000101</v>
      </c>
      <c r="J144" s="234">
        <f t="shared" si="30"/>
        <v>32271046.000000101</v>
      </c>
      <c r="K144" s="234">
        <f t="shared" si="30"/>
        <v>32271046.000010099</v>
      </c>
      <c r="L144" s="234">
        <f t="shared" si="30"/>
        <v>9.9999999999999995E-8</v>
      </c>
      <c r="M144" s="234">
        <f t="shared" si="30"/>
        <v>9.9999999999999995E-8</v>
      </c>
      <c r="N144" s="234">
        <f t="shared" si="30"/>
        <v>9.9999999999999995E-8</v>
      </c>
      <c r="O144" s="234">
        <f t="shared" si="30"/>
        <v>32271046.000010099</v>
      </c>
      <c r="P144" s="234">
        <f t="shared" si="30"/>
        <v>102500000.00001</v>
      </c>
    </row>
    <row r="145" spans="5:7" x14ac:dyDescent="0.25">
      <c r="E145" s="234"/>
    </row>
    <row r="146" spans="5:7" x14ac:dyDescent="0.25">
      <c r="E146" s="230"/>
    </row>
    <row r="148" spans="5:7" x14ac:dyDescent="0.25">
      <c r="E148" s="230">
        <f>'[1]dod 1 '!D124-'dod 2'!E135</f>
        <v>22154849.999999896</v>
      </c>
    </row>
    <row r="150" spans="5:7" x14ac:dyDescent="0.25">
      <c r="G150" s="231">
        <f>G135*1.22</f>
        <v>10812412.260000123</v>
      </c>
    </row>
    <row r="151" spans="5:7" x14ac:dyDescent="0.25">
      <c r="G151" s="448"/>
    </row>
  </sheetData>
  <autoFilter ref="A11:S136" xr:uid="{00000000-0009-0000-0000-000001000000}">
    <filterColumn colId="15">
      <customFilters>
        <customFilter operator="notEqual" val=" "/>
      </customFilters>
    </filterColumn>
  </autoFilter>
  <mergeCells count="25">
    <mergeCell ref="J7:O7"/>
    <mergeCell ref="P7:P10"/>
    <mergeCell ref="E8:E10"/>
    <mergeCell ref="F8:F10"/>
    <mergeCell ref="G8:H8"/>
    <mergeCell ref="I8:I10"/>
    <mergeCell ref="J8:J10"/>
    <mergeCell ref="K8:K10"/>
    <mergeCell ref="L8:L10"/>
    <mergeCell ref="M8:N8"/>
    <mergeCell ref="O8:O10"/>
    <mergeCell ref="G9:G10"/>
    <mergeCell ref="H9:H10"/>
    <mergeCell ref="M9:M10"/>
    <mergeCell ref="N9:N10"/>
    <mergeCell ref="K1:P1"/>
    <mergeCell ref="L2:P2"/>
    <mergeCell ref="A3:P3"/>
    <mergeCell ref="A4:P4"/>
    <mergeCell ref="D5:E5"/>
    <mergeCell ref="A7:A10"/>
    <mergeCell ref="B7:B10"/>
    <mergeCell ref="C7:C10"/>
    <mergeCell ref="D7:D10"/>
    <mergeCell ref="E7:I7"/>
  </mergeCells>
  <pageMargins left="0.23622047244094491" right="0.19685039370078741" top="1.0629921259842521" bottom="0.47244094488188981" header="0.23622047244094491" footer="0.27559055118110237"/>
  <pageSetup paperSize="9" scale="4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S36"/>
  <sheetViews>
    <sheetView view="pageBreakPreview" topLeftCell="A3" zoomScaleNormal="100" zoomScaleSheetLayoutView="100" workbookViewId="0">
      <selection activeCell="E20" sqref="E20"/>
    </sheetView>
  </sheetViews>
  <sheetFormatPr defaultColWidth="8.85546875" defaultRowHeight="15.75" x14ac:dyDescent="0.25"/>
  <cols>
    <col min="1" max="1" width="8.85546875" style="8"/>
    <col min="2" max="2" width="11.28515625" style="8" customWidth="1"/>
    <col min="3" max="3" width="33.5703125" style="8" customWidth="1"/>
    <col min="4" max="4" width="14.7109375" style="8" customWidth="1"/>
    <col min="5" max="5" width="17.85546875" style="8" bestFit="1" customWidth="1"/>
    <col min="6" max="6" width="23.85546875" style="8" customWidth="1"/>
    <col min="7" max="7" width="23.28515625" style="8" customWidth="1"/>
    <col min="8" max="8" width="8.85546875" style="8"/>
    <col min="9" max="9" width="14.28515625" style="8" bestFit="1" customWidth="1"/>
    <col min="10" max="10" width="13.42578125" style="8" bestFit="1" customWidth="1"/>
    <col min="11" max="11" width="13.140625" style="8" bestFit="1" customWidth="1"/>
    <col min="12" max="257" width="8.85546875" style="8"/>
    <col min="258" max="258" width="11.28515625" style="8" customWidth="1"/>
    <col min="259" max="259" width="33.5703125" style="8" customWidth="1"/>
    <col min="260" max="260" width="14.7109375" style="8" customWidth="1"/>
    <col min="261" max="261" width="17.85546875" style="8" bestFit="1" customWidth="1"/>
    <col min="262" max="262" width="23.85546875" style="8" customWidth="1"/>
    <col min="263" max="263" width="23.28515625" style="8" customWidth="1"/>
    <col min="264" max="264" width="8.85546875" style="8"/>
    <col min="265" max="265" width="14.28515625" style="8" bestFit="1" customWidth="1"/>
    <col min="266" max="266" width="13.42578125" style="8" bestFit="1" customWidth="1"/>
    <col min="267" max="267" width="13.140625" style="8" bestFit="1" customWidth="1"/>
    <col min="268" max="513" width="8.85546875" style="8"/>
    <col min="514" max="514" width="11.28515625" style="8" customWidth="1"/>
    <col min="515" max="515" width="33.5703125" style="8" customWidth="1"/>
    <col min="516" max="516" width="14.7109375" style="8" customWidth="1"/>
    <col min="517" max="517" width="17.85546875" style="8" bestFit="1" customWidth="1"/>
    <col min="518" max="518" width="23.85546875" style="8" customWidth="1"/>
    <col min="519" max="519" width="23.28515625" style="8" customWidth="1"/>
    <col min="520" max="520" width="8.85546875" style="8"/>
    <col min="521" max="521" width="14.28515625" style="8" bestFit="1" customWidth="1"/>
    <col min="522" max="522" width="13.42578125" style="8" bestFit="1" customWidth="1"/>
    <col min="523" max="523" width="13.140625" style="8" bestFit="1" customWidth="1"/>
    <col min="524" max="769" width="8.85546875" style="8"/>
    <col min="770" max="770" width="11.28515625" style="8" customWidth="1"/>
    <col min="771" max="771" width="33.5703125" style="8" customWidth="1"/>
    <col min="772" max="772" width="14.7109375" style="8" customWidth="1"/>
    <col min="773" max="773" width="17.85546875" style="8" bestFit="1" customWidth="1"/>
    <col min="774" max="774" width="23.85546875" style="8" customWidth="1"/>
    <col min="775" max="775" width="23.28515625" style="8" customWidth="1"/>
    <col min="776" max="776" width="8.85546875" style="8"/>
    <col min="777" max="777" width="14.28515625" style="8" bestFit="1" customWidth="1"/>
    <col min="778" max="778" width="13.42578125" style="8" bestFit="1" customWidth="1"/>
    <col min="779" max="779" width="13.140625" style="8" bestFit="1" customWidth="1"/>
    <col min="780" max="1025" width="8.85546875" style="8"/>
    <col min="1026" max="1026" width="11.28515625" style="8" customWidth="1"/>
    <col min="1027" max="1027" width="33.5703125" style="8" customWidth="1"/>
    <col min="1028" max="1028" width="14.7109375" style="8" customWidth="1"/>
    <col min="1029" max="1029" width="17.85546875" style="8" bestFit="1" customWidth="1"/>
    <col min="1030" max="1030" width="23.85546875" style="8" customWidth="1"/>
    <col min="1031" max="1031" width="23.28515625" style="8" customWidth="1"/>
    <col min="1032" max="1032" width="8.85546875" style="8"/>
    <col min="1033" max="1033" width="14.28515625" style="8" bestFit="1" customWidth="1"/>
    <col min="1034" max="1034" width="13.42578125" style="8" bestFit="1" customWidth="1"/>
    <col min="1035" max="1035" width="13.140625" style="8" bestFit="1" customWidth="1"/>
    <col min="1036" max="1281" width="8.85546875" style="8"/>
    <col min="1282" max="1282" width="11.28515625" style="8" customWidth="1"/>
    <col min="1283" max="1283" width="33.5703125" style="8" customWidth="1"/>
    <col min="1284" max="1284" width="14.7109375" style="8" customWidth="1"/>
    <col min="1285" max="1285" width="17.85546875" style="8" bestFit="1" customWidth="1"/>
    <col min="1286" max="1286" width="23.85546875" style="8" customWidth="1"/>
    <col min="1287" max="1287" width="23.28515625" style="8" customWidth="1"/>
    <col min="1288" max="1288" width="8.85546875" style="8"/>
    <col min="1289" max="1289" width="14.28515625" style="8" bestFit="1" customWidth="1"/>
    <col min="1290" max="1290" width="13.42578125" style="8" bestFit="1" customWidth="1"/>
    <col min="1291" max="1291" width="13.140625" style="8" bestFit="1" customWidth="1"/>
    <col min="1292" max="1537" width="8.85546875" style="8"/>
    <col min="1538" max="1538" width="11.28515625" style="8" customWidth="1"/>
    <col min="1539" max="1539" width="33.5703125" style="8" customWidth="1"/>
    <col min="1540" max="1540" width="14.7109375" style="8" customWidth="1"/>
    <col min="1541" max="1541" width="17.85546875" style="8" bestFit="1" customWidth="1"/>
    <col min="1542" max="1542" width="23.85546875" style="8" customWidth="1"/>
    <col min="1543" max="1543" width="23.28515625" style="8" customWidth="1"/>
    <col min="1544" max="1544" width="8.85546875" style="8"/>
    <col min="1545" max="1545" width="14.28515625" style="8" bestFit="1" customWidth="1"/>
    <col min="1546" max="1546" width="13.42578125" style="8" bestFit="1" customWidth="1"/>
    <col min="1547" max="1547" width="13.140625" style="8" bestFit="1" customWidth="1"/>
    <col min="1548" max="1793" width="8.85546875" style="8"/>
    <col min="1794" max="1794" width="11.28515625" style="8" customWidth="1"/>
    <col min="1795" max="1795" width="33.5703125" style="8" customWidth="1"/>
    <col min="1796" max="1796" width="14.7109375" style="8" customWidth="1"/>
    <col min="1797" max="1797" width="17.85546875" style="8" bestFit="1" customWidth="1"/>
    <col min="1798" max="1798" width="23.85546875" style="8" customWidth="1"/>
    <col min="1799" max="1799" width="23.28515625" style="8" customWidth="1"/>
    <col min="1800" max="1800" width="8.85546875" style="8"/>
    <col min="1801" max="1801" width="14.28515625" style="8" bestFit="1" customWidth="1"/>
    <col min="1802" max="1802" width="13.42578125" style="8" bestFit="1" customWidth="1"/>
    <col min="1803" max="1803" width="13.140625" style="8" bestFit="1" customWidth="1"/>
    <col min="1804" max="2049" width="8.85546875" style="8"/>
    <col min="2050" max="2050" width="11.28515625" style="8" customWidth="1"/>
    <col min="2051" max="2051" width="33.5703125" style="8" customWidth="1"/>
    <col min="2052" max="2052" width="14.7109375" style="8" customWidth="1"/>
    <col min="2053" max="2053" width="17.85546875" style="8" bestFit="1" customWidth="1"/>
    <col min="2054" max="2054" width="23.85546875" style="8" customWidth="1"/>
    <col min="2055" max="2055" width="23.28515625" style="8" customWidth="1"/>
    <col min="2056" max="2056" width="8.85546875" style="8"/>
    <col min="2057" max="2057" width="14.28515625" style="8" bestFit="1" customWidth="1"/>
    <col min="2058" max="2058" width="13.42578125" style="8" bestFit="1" customWidth="1"/>
    <col min="2059" max="2059" width="13.140625" style="8" bestFit="1" customWidth="1"/>
    <col min="2060" max="2305" width="8.85546875" style="8"/>
    <col min="2306" max="2306" width="11.28515625" style="8" customWidth="1"/>
    <col min="2307" max="2307" width="33.5703125" style="8" customWidth="1"/>
    <col min="2308" max="2308" width="14.7109375" style="8" customWidth="1"/>
    <col min="2309" max="2309" width="17.85546875" style="8" bestFit="1" customWidth="1"/>
    <col min="2310" max="2310" width="23.85546875" style="8" customWidth="1"/>
    <col min="2311" max="2311" width="23.28515625" style="8" customWidth="1"/>
    <col min="2312" max="2312" width="8.85546875" style="8"/>
    <col min="2313" max="2313" width="14.28515625" style="8" bestFit="1" customWidth="1"/>
    <col min="2314" max="2314" width="13.42578125" style="8" bestFit="1" customWidth="1"/>
    <col min="2315" max="2315" width="13.140625" style="8" bestFit="1" customWidth="1"/>
    <col min="2316" max="2561" width="8.85546875" style="8"/>
    <col min="2562" max="2562" width="11.28515625" style="8" customWidth="1"/>
    <col min="2563" max="2563" width="33.5703125" style="8" customWidth="1"/>
    <col min="2564" max="2564" width="14.7109375" style="8" customWidth="1"/>
    <col min="2565" max="2565" width="17.85546875" style="8" bestFit="1" customWidth="1"/>
    <col min="2566" max="2566" width="23.85546875" style="8" customWidth="1"/>
    <col min="2567" max="2567" width="23.28515625" style="8" customWidth="1"/>
    <col min="2568" max="2568" width="8.85546875" style="8"/>
    <col min="2569" max="2569" width="14.28515625" style="8" bestFit="1" customWidth="1"/>
    <col min="2570" max="2570" width="13.42578125" style="8" bestFit="1" customWidth="1"/>
    <col min="2571" max="2571" width="13.140625" style="8" bestFit="1" customWidth="1"/>
    <col min="2572" max="2817" width="8.85546875" style="8"/>
    <col min="2818" max="2818" width="11.28515625" style="8" customWidth="1"/>
    <col min="2819" max="2819" width="33.5703125" style="8" customWidth="1"/>
    <col min="2820" max="2820" width="14.7109375" style="8" customWidth="1"/>
    <col min="2821" max="2821" width="17.85546875" style="8" bestFit="1" customWidth="1"/>
    <col min="2822" max="2822" width="23.85546875" style="8" customWidth="1"/>
    <col min="2823" max="2823" width="23.28515625" style="8" customWidth="1"/>
    <col min="2824" max="2824" width="8.85546875" style="8"/>
    <col min="2825" max="2825" width="14.28515625" style="8" bestFit="1" customWidth="1"/>
    <col min="2826" max="2826" width="13.42578125" style="8" bestFit="1" customWidth="1"/>
    <col min="2827" max="2827" width="13.140625" style="8" bestFit="1" customWidth="1"/>
    <col min="2828" max="3073" width="8.85546875" style="8"/>
    <col min="3074" max="3074" width="11.28515625" style="8" customWidth="1"/>
    <col min="3075" max="3075" width="33.5703125" style="8" customWidth="1"/>
    <col min="3076" max="3076" width="14.7109375" style="8" customWidth="1"/>
    <col min="3077" max="3077" width="17.85546875" style="8" bestFit="1" customWidth="1"/>
    <col min="3078" max="3078" width="23.85546875" style="8" customWidth="1"/>
    <col min="3079" max="3079" width="23.28515625" style="8" customWidth="1"/>
    <col min="3080" max="3080" width="8.85546875" style="8"/>
    <col min="3081" max="3081" width="14.28515625" style="8" bestFit="1" customWidth="1"/>
    <col min="3082" max="3082" width="13.42578125" style="8" bestFit="1" customWidth="1"/>
    <col min="3083" max="3083" width="13.140625" style="8" bestFit="1" customWidth="1"/>
    <col min="3084" max="3329" width="8.85546875" style="8"/>
    <col min="3330" max="3330" width="11.28515625" style="8" customWidth="1"/>
    <col min="3331" max="3331" width="33.5703125" style="8" customWidth="1"/>
    <col min="3332" max="3332" width="14.7109375" style="8" customWidth="1"/>
    <col min="3333" max="3333" width="17.85546875" style="8" bestFit="1" customWidth="1"/>
    <col min="3334" max="3334" width="23.85546875" style="8" customWidth="1"/>
    <col min="3335" max="3335" width="23.28515625" style="8" customWidth="1"/>
    <col min="3336" max="3336" width="8.85546875" style="8"/>
    <col min="3337" max="3337" width="14.28515625" style="8" bestFit="1" customWidth="1"/>
    <col min="3338" max="3338" width="13.42578125" style="8" bestFit="1" customWidth="1"/>
    <col min="3339" max="3339" width="13.140625" style="8" bestFit="1" customWidth="1"/>
    <col min="3340" max="3585" width="8.85546875" style="8"/>
    <col min="3586" max="3586" width="11.28515625" style="8" customWidth="1"/>
    <col min="3587" max="3587" width="33.5703125" style="8" customWidth="1"/>
    <col min="3588" max="3588" width="14.7109375" style="8" customWidth="1"/>
    <col min="3589" max="3589" width="17.85546875" style="8" bestFit="1" customWidth="1"/>
    <col min="3590" max="3590" width="23.85546875" style="8" customWidth="1"/>
    <col min="3591" max="3591" width="23.28515625" style="8" customWidth="1"/>
    <col min="3592" max="3592" width="8.85546875" style="8"/>
    <col min="3593" max="3593" width="14.28515625" style="8" bestFit="1" customWidth="1"/>
    <col min="3594" max="3594" width="13.42578125" style="8" bestFit="1" customWidth="1"/>
    <col min="3595" max="3595" width="13.140625" style="8" bestFit="1" customWidth="1"/>
    <col min="3596" max="3841" width="8.85546875" style="8"/>
    <col min="3842" max="3842" width="11.28515625" style="8" customWidth="1"/>
    <col min="3843" max="3843" width="33.5703125" style="8" customWidth="1"/>
    <col min="3844" max="3844" width="14.7109375" style="8" customWidth="1"/>
    <col min="3845" max="3845" width="17.85546875" style="8" bestFit="1" customWidth="1"/>
    <col min="3846" max="3846" width="23.85546875" style="8" customWidth="1"/>
    <col min="3847" max="3847" width="23.28515625" style="8" customWidth="1"/>
    <col min="3848" max="3848" width="8.85546875" style="8"/>
    <col min="3849" max="3849" width="14.28515625" style="8" bestFit="1" customWidth="1"/>
    <col min="3850" max="3850" width="13.42578125" style="8" bestFit="1" customWidth="1"/>
    <col min="3851" max="3851" width="13.140625" style="8" bestFit="1" customWidth="1"/>
    <col min="3852" max="4097" width="8.85546875" style="8"/>
    <col min="4098" max="4098" width="11.28515625" style="8" customWidth="1"/>
    <col min="4099" max="4099" width="33.5703125" style="8" customWidth="1"/>
    <col min="4100" max="4100" width="14.7109375" style="8" customWidth="1"/>
    <col min="4101" max="4101" width="17.85546875" style="8" bestFit="1" customWidth="1"/>
    <col min="4102" max="4102" width="23.85546875" style="8" customWidth="1"/>
    <col min="4103" max="4103" width="23.28515625" style="8" customWidth="1"/>
    <col min="4104" max="4104" width="8.85546875" style="8"/>
    <col min="4105" max="4105" width="14.28515625" style="8" bestFit="1" customWidth="1"/>
    <col min="4106" max="4106" width="13.42578125" style="8" bestFit="1" customWidth="1"/>
    <col min="4107" max="4107" width="13.140625" style="8" bestFit="1" customWidth="1"/>
    <col min="4108" max="4353" width="8.85546875" style="8"/>
    <col min="4354" max="4354" width="11.28515625" style="8" customWidth="1"/>
    <col min="4355" max="4355" width="33.5703125" style="8" customWidth="1"/>
    <col min="4356" max="4356" width="14.7109375" style="8" customWidth="1"/>
    <col min="4357" max="4357" width="17.85546875" style="8" bestFit="1" customWidth="1"/>
    <col min="4358" max="4358" width="23.85546875" style="8" customWidth="1"/>
    <col min="4359" max="4359" width="23.28515625" style="8" customWidth="1"/>
    <col min="4360" max="4360" width="8.85546875" style="8"/>
    <col min="4361" max="4361" width="14.28515625" style="8" bestFit="1" customWidth="1"/>
    <col min="4362" max="4362" width="13.42578125" style="8" bestFit="1" customWidth="1"/>
    <col min="4363" max="4363" width="13.140625" style="8" bestFit="1" customWidth="1"/>
    <col min="4364" max="4609" width="8.85546875" style="8"/>
    <col min="4610" max="4610" width="11.28515625" style="8" customWidth="1"/>
    <col min="4611" max="4611" width="33.5703125" style="8" customWidth="1"/>
    <col min="4612" max="4612" width="14.7109375" style="8" customWidth="1"/>
    <col min="4613" max="4613" width="17.85546875" style="8" bestFit="1" customWidth="1"/>
    <col min="4614" max="4614" width="23.85546875" style="8" customWidth="1"/>
    <col min="4615" max="4615" width="23.28515625" style="8" customWidth="1"/>
    <col min="4616" max="4616" width="8.85546875" style="8"/>
    <col min="4617" max="4617" width="14.28515625" style="8" bestFit="1" customWidth="1"/>
    <col min="4618" max="4618" width="13.42578125" style="8" bestFit="1" customWidth="1"/>
    <col min="4619" max="4619" width="13.140625" style="8" bestFit="1" customWidth="1"/>
    <col min="4620" max="4865" width="8.85546875" style="8"/>
    <col min="4866" max="4866" width="11.28515625" style="8" customWidth="1"/>
    <col min="4867" max="4867" width="33.5703125" style="8" customWidth="1"/>
    <col min="4868" max="4868" width="14.7109375" style="8" customWidth="1"/>
    <col min="4869" max="4869" width="17.85546875" style="8" bestFit="1" customWidth="1"/>
    <col min="4870" max="4870" width="23.85546875" style="8" customWidth="1"/>
    <col min="4871" max="4871" width="23.28515625" style="8" customWidth="1"/>
    <col min="4872" max="4872" width="8.85546875" style="8"/>
    <col min="4873" max="4873" width="14.28515625" style="8" bestFit="1" customWidth="1"/>
    <col min="4874" max="4874" width="13.42578125" style="8" bestFit="1" customWidth="1"/>
    <col min="4875" max="4875" width="13.140625" style="8" bestFit="1" customWidth="1"/>
    <col min="4876" max="5121" width="8.85546875" style="8"/>
    <col min="5122" max="5122" width="11.28515625" style="8" customWidth="1"/>
    <col min="5123" max="5123" width="33.5703125" style="8" customWidth="1"/>
    <col min="5124" max="5124" width="14.7109375" style="8" customWidth="1"/>
    <col min="5125" max="5125" width="17.85546875" style="8" bestFit="1" customWidth="1"/>
    <col min="5126" max="5126" width="23.85546875" style="8" customWidth="1"/>
    <col min="5127" max="5127" width="23.28515625" style="8" customWidth="1"/>
    <col min="5128" max="5128" width="8.85546875" style="8"/>
    <col min="5129" max="5129" width="14.28515625" style="8" bestFit="1" customWidth="1"/>
    <col min="5130" max="5130" width="13.42578125" style="8" bestFit="1" customWidth="1"/>
    <col min="5131" max="5131" width="13.140625" style="8" bestFit="1" customWidth="1"/>
    <col min="5132" max="5377" width="8.85546875" style="8"/>
    <col min="5378" max="5378" width="11.28515625" style="8" customWidth="1"/>
    <col min="5379" max="5379" width="33.5703125" style="8" customWidth="1"/>
    <col min="5380" max="5380" width="14.7109375" style="8" customWidth="1"/>
    <col min="5381" max="5381" width="17.85546875" style="8" bestFit="1" customWidth="1"/>
    <col min="5382" max="5382" width="23.85546875" style="8" customWidth="1"/>
    <col min="5383" max="5383" width="23.28515625" style="8" customWidth="1"/>
    <col min="5384" max="5384" width="8.85546875" style="8"/>
    <col min="5385" max="5385" width="14.28515625" style="8" bestFit="1" customWidth="1"/>
    <col min="5386" max="5386" width="13.42578125" style="8" bestFit="1" customWidth="1"/>
    <col min="5387" max="5387" width="13.140625" style="8" bestFit="1" customWidth="1"/>
    <col min="5388" max="5633" width="8.85546875" style="8"/>
    <col min="5634" max="5634" width="11.28515625" style="8" customWidth="1"/>
    <col min="5635" max="5635" width="33.5703125" style="8" customWidth="1"/>
    <col min="5636" max="5636" width="14.7109375" style="8" customWidth="1"/>
    <col min="5637" max="5637" width="17.85546875" style="8" bestFit="1" customWidth="1"/>
    <col min="5638" max="5638" width="23.85546875" style="8" customWidth="1"/>
    <col min="5639" max="5639" width="23.28515625" style="8" customWidth="1"/>
    <col min="5640" max="5640" width="8.85546875" style="8"/>
    <col min="5641" max="5641" width="14.28515625" style="8" bestFit="1" customWidth="1"/>
    <col min="5642" max="5642" width="13.42578125" style="8" bestFit="1" customWidth="1"/>
    <col min="5643" max="5643" width="13.140625" style="8" bestFit="1" customWidth="1"/>
    <col min="5644" max="5889" width="8.85546875" style="8"/>
    <col min="5890" max="5890" width="11.28515625" style="8" customWidth="1"/>
    <col min="5891" max="5891" width="33.5703125" style="8" customWidth="1"/>
    <col min="5892" max="5892" width="14.7109375" style="8" customWidth="1"/>
    <col min="5893" max="5893" width="17.85546875" style="8" bestFit="1" customWidth="1"/>
    <col min="5894" max="5894" width="23.85546875" style="8" customWidth="1"/>
    <col min="5895" max="5895" width="23.28515625" style="8" customWidth="1"/>
    <col min="5896" max="5896" width="8.85546875" style="8"/>
    <col min="5897" max="5897" width="14.28515625" style="8" bestFit="1" customWidth="1"/>
    <col min="5898" max="5898" width="13.42578125" style="8" bestFit="1" customWidth="1"/>
    <col min="5899" max="5899" width="13.140625" style="8" bestFit="1" customWidth="1"/>
    <col min="5900" max="6145" width="8.85546875" style="8"/>
    <col min="6146" max="6146" width="11.28515625" style="8" customWidth="1"/>
    <col min="6147" max="6147" width="33.5703125" style="8" customWidth="1"/>
    <col min="6148" max="6148" width="14.7109375" style="8" customWidth="1"/>
    <col min="6149" max="6149" width="17.85546875" style="8" bestFit="1" customWidth="1"/>
    <col min="6150" max="6150" width="23.85546875" style="8" customWidth="1"/>
    <col min="6151" max="6151" width="23.28515625" style="8" customWidth="1"/>
    <col min="6152" max="6152" width="8.85546875" style="8"/>
    <col min="6153" max="6153" width="14.28515625" style="8" bestFit="1" customWidth="1"/>
    <col min="6154" max="6154" width="13.42578125" style="8" bestFit="1" customWidth="1"/>
    <col min="6155" max="6155" width="13.140625" style="8" bestFit="1" customWidth="1"/>
    <col min="6156" max="6401" width="8.85546875" style="8"/>
    <col min="6402" max="6402" width="11.28515625" style="8" customWidth="1"/>
    <col min="6403" max="6403" width="33.5703125" style="8" customWidth="1"/>
    <col min="6404" max="6404" width="14.7109375" style="8" customWidth="1"/>
    <col min="6405" max="6405" width="17.85546875" style="8" bestFit="1" customWidth="1"/>
    <col min="6406" max="6406" width="23.85546875" style="8" customWidth="1"/>
    <col min="6407" max="6407" width="23.28515625" style="8" customWidth="1"/>
    <col min="6408" max="6408" width="8.85546875" style="8"/>
    <col min="6409" max="6409" width="14.28515625" style="8" bestFit="1" customWidth="1"/>
    <col min="6410" max="6410" width="13.42578125" style="8" bestFit="1" customWidth="1"/>
    <col min="6411" max="6411" width="13.140625" style="8" bestFit="1" customWidth="1"/>
    <col min="6412" max="6657" width="8.85546875" style="8"/>
    <col min="6658" max="6658" width="11.28515625" style="8" customWidth="1"/>
    <col min="6659" max="6659" width="33.5703125" style="8" customWidth="1"/>
    <col min="6660" max="6660" width="14.7109375" style="8" customWidth="1"/>
    <col min="6661" max="6661" width="17.85546875" style="8" bestFit="1" customWidth="1"/>
    <col min="6662" max="6662" width="23.85546875" style="8" customWidth="1"/>
    <col min="6663" max="6663" width="23.28515625" style="8" customWidth="1"/>
    <col min="6664" max="6664" width="8.85546875" style="8"/>
    <col min="6665" max="6665" width="14.28515625" style="8" bestFit="1" customWidth="1"/>
    <col min="6666" max="6666" width="13.42578125" style="8" bestFit="1" customWidth="1"/>
    <col min="6667" max="6667" width="13.140625" style="8" bestFit="1" customWidth="1"/>
    <col min="6668" max="6913" width="8.85546875" style="8"/>
    <col min="6914" max="6914" width="11.28515625" style="8" customWidth="1"/>
    <col min="6915" max="6915" width="33.5703125" style="8" customWidth="1"/>
    <col min="6916" max="6916" width="14.7109375" style="8" customWidth="1"/>
    <col min="6917" max="6917" width="17.85546875" style="8" bestFit="1" customWidth="1"/>
    <col min="6918" max="6918" width="23.85546875" style="8" customWidth="1"/>
    <col min="6919" max="6919" width="23.28515625" style="8" customWidth="1"/>
    <col min="6920" max="6920" width="8.85546875" style="8"/>
    <col min="6921" max="6921" width="14.28515625" style="8" bestFit="1" customWidth="1"/>
    <col min="6922" max="6922" width="13.42578125" style="8" bestFit="1" customWidth="1"/>
    <col min="6923" max="6923" width="13.140625" style="8" bestFit="1" customWidth="1"/>
    <col min="6924" max="7169" width="8.85546875" style="8"/>
    <col min="7170" max="7170" width="11.28515625" style="8" customWidth="1"/>
    <col min="7171" max="7171" width="33.5703125" style="8" customWidth="1"/>
    <col min="7172" max="7172" width="14.7109375" style="8" customWidth="1"/>
    <col min="7173" max="7173" width="17.85546875" style="8" bestFit="1" customWidth="1"/>
    <col min="7174" max="7174" width="23.85546875" style="8" customWidth="1"/>
    <col min="7175" max="7175" width="23.28515625" style="8" customWidth="1"/>
    <col min="7176" max="7176" width="8.85546875" style="8"/>
    <col min="7177" max="7177" width="14.28515625" style="8" bestFit="1" customWidth="1"/>
    <col min="7178" max="7178" width="13.42578125" style="8" bestFit="1" customWidth="1"/>
    <col min="7179" max="7179" width="13.140625" style="8" bestFit="1" customWidth="1"/>
    <col min="7180" max="7425" width="8.85546875" style="8"/>
    <col min="7426" max="7426" width="11.28515625" style="8" customWidth="1"/>
    <col min="7427" max="7427" width="33.5703125" style="8" customWidth="1"/>
    <col min="7428" max="7428" width="14.7109375" style="8" customWidth="1"/>
    <col min="7429" max="7429" width="17.85546875" style="8" bestFit="1" customWidth="1"/>
    <col min="7430" max="7430" width="23.85546875" style="8" customWidth="1"/>
    <col min="7431" max="7431" width="23.28515625" style="8" customWidth="1"/>
    <col min="7432" max="7432" width="8.85546875" style="8"/>
    <col min="7433" max="7433" width="14.28515625" style="8" bestFit="1" customWidth="1"/>
    <col min="7434" max="7434" width="13.42578125" style="8" bestFit="1" customWidth="1"/>
    <col min="7435" max="7435" width="13.140625" style="8" bestFit="1" customWidth="1"/>
    <col min="7436" max="7681" width="8.85546875" style="8"/>
    <col min="7682" max="7682" width="11.28515625" style="8" customWidth="1"/>
    <col min="7683" max="7683" width="33.5703125" style="8" customWidth="1"/>
    <col min="7684" max="7684" width="14.7109375" style="8" customWidth="1"/>
    <col min="7685" max="7685" width="17.85546875" style="8" bestFit="1" customWidth="1"/>
    <col min="7686" max="7686" width="23.85546875" style="8" customWidth="1"/>
    <col min="7687" max="7687" width="23.28515625" style="8" customWidth="1"/>
    <col min="7688" max="7688" width="8.85546875" style="8"/>
    <col min="7689" max="7689" width="14.28515625" style="8" bestFit="1" customWidth="1"/>
    <col min="7690" max="7690" width="13.42578125" style="8" bestFit="1" customWidth="1"/>
    <col min="7691" max="7691" width="13.140625" style="8" bestFit="1" customWidth="1"/>
    <col min="7692" max="7937" width="8.85546875" style="8"/>
    <col min="7938" max="7938" width="11.28515625" style="8" customWidth="1"/>
    <col min="7939" max="7939" width="33.5703125" style="8" customWidth="1"/>
    <col min="7940" max="7940" width="14.7109375" style="8" customWidth="1"/>
    <col min="7941" max="7941" width="17.85546875" style="8" bestFit="1" customWidth="1"/>
    <col min="7942" max="7942" width="23.85546875" style="8" customWidth="1"/>
    <col min="7943" max="7943" width="23.28515625" style="8" customWidth="1"/>
    <col min="7944" max="7944" width="8.85546875" style="8"/>
    <col min="7945" max="7945" width="14.28515625" style="8" bestFit="1" customWidth="1"/>
    <col min="7946" max="7946" width="13.42578125" style="8" bestFit="1" customWidth="1"/>
    <col min="7947" max="7947" width="13.140625" style="8" bestFit="1" customWidth="1"/>
    <col min="7948" max="8193" width="8.85546875" style="8"/>
    <col min="8194" max="8194" width="11.28515625" style="8" customWidth="1"/>
    <col min="8195" max="8195" width="33.5703125" style="8" customWidth="1"/>
    <col min="8196" max="8196" width="14.7109375" style="8" customWidth="1"/>
    <col min="8197" max="8197" width="17.85546875" style="8" bestFit="1" customWidth="1"/>
    <col min="8198" max="8198" width="23.85546875" style="8" customWidth="1"/>
    <col min="8199" max="8199" width="23.28515625" style="8" customWidth="1"/>
    <col min="8200" max="8200" width="8.85546875" style="8"/>
    <col min="8201" max="8201" width="14.28515625" style="8" bestFit="1" customWidth="1"/>
    <col min="8202" max="8202" width="13.42578125" style="8" bestFit="1" customWidth="1"/>
    <col min="8203" max="8203" width="13.140625" style="8" bestFit="1" customWidth="1"/>
    <col min="8204" max="8449" width="8.85546875" style="8"/>
    <col min="8450" max="8450" width="11.28515625" style="8" customWidth="1"/>
    <col min="8451" max="8451" width="33.5703125" style="8" customWidth="1"/>
    <col min="8452" max="8452" width="14.7109375" style="8" customWidth="1"/>
    <col min="8453" max="8453" width="17.85546875" style="8" bestFit="1" customWidth="1"/>
    <col min="8454" max="8454" width="23.85546875" style="8" customWidth="1"/>
    <col min="8455" max="8455" width="23.28515625" style="8" customWidth="1"/>
    <col min="8456" max="8456" width="8.85546875" style="8"/>
    <col min="8457" max="8457" width="14.28515625" style="8" bestFit="1" customWidth="1"/>
    <col min="8458" max="8458" width="13.42578125" style="8" bestFit="1" customWidth="1"/>
    <col min="8459" max="8459" width="13.140625" style="8" bestFit="1" customWidth="1"/>
    <col min="8460" max="8705" width="8.85546875" style="8"/>
    <col min="8706" max="8706" width="11.28515625" style="8" customWidth="1"/>
    <col min="8707" max="8707" width="33.5703125" style="8" customWidth="1"/>
    <col min="8708" max="8708" width="14.7109375" style="8" customWidth="1"/>
    <col min="8709" max="8709" width="17.85546875" style="8" bestFit="1" customWidth="1"/>
    <col min="8710" max="8710" width="23.85546875" style="8" customWidth="1"/>
    <col min="8711" max="8711" width="23.28515625" style="8" customWidth="1"/>
    <col min="8712" max="8712" width="8.85546875" style="8"/>
    <col min="8713" max="8713" width="14.28515625" style="8" bestFit="1" customWidth="1"/>
    <col min="8714" max="8714" width="13.42578125" style="8" bestFit="1" customWidth="1"/>
    <col min="8715" max="8715" width="13.140625" style="8" bestFit="1" customWidth="1"/>
    <col min="8716" max="8961" width="8.85546875" style="8"/>
    <col min="8962" max="8962" width="11.28515625" style="8" customWidth="1"/>
    <col min="8963" max="8963" width="33.5703125" style="8" customWidth="1"/>
    <col min="8964" max="8964" width="14.7109375" style="8" customWidth="1"/>
    <col min="8965" max="8965" width="17.85546875" style="8" bestFit="1" customWidth="1"/>
    <col min="8966" max="8966" width="23.85546875" style="8" customWidth="1"/>
    <col min="8967" max="8967" width="23.28515625" style="8" customWidth="1"/>
    <col min="8968" max="8968" width="8.85546875" style="8"/>
    <col min="8969" max="8969" width="14.28515625" style="8" bestFit="1" customWidth="1"/>
    <col min="8970" max="8970" width="13.42578125" style="8" bestFit="1" customWidth="1"/>
    <col min="8971" max="8971" width="13.140625" style="8" bestFit="1" customWidth="1"/>
    <col min="8972" max="9217" width="8.85546875" style="8"/>
    <col min="9218" max="9218" width="11.28515625" style="8" customWidth="1"/>
    <col min="9219" max="9219" width="33.5703125" style="8" customWidth="1"/>
    <col min="9220" max="9220" width="14.7109375" style="8" customWidth="1"/>
    <col min="9221" max="9221" width="17.85546875" style="8" bestFit="1" customWidth="1"/>
    <col min="9222" max="9222" width="23.85546875" style="8" customWidth="1"/>
    <col min="9223" max="9223" width="23.28515625" style="8" customWidth="1"/>
    <col min="9224" max="9224" width="8.85546875" style="8"/>
    <col min="9225" max="9225" width="14.28515625" style="8" bestFit="1" customWidth="1"/>
    <col min="9226" max="9226" width="13.42578125" style="8" bestFit="1" customWidth="1"/>
    <col min="9227" max="9227" width="13.140625" style="8" bestFit="1" customWidth="1"/>
    <col min="9228" max="9473" width="8.85546875" style="8"/>
    <col min="9474" max="9474" width="11.28515625" style="8" customWidth="1"/>
    <col min="9475" max="9475" width="33.5703125" style="8" customWidth="1"/>
    <col min="9476" max="9476" width="14.7109375" style="8" customWidth="1"/>
    <col min="9477" max="9477" width="17.85546875" style="8" bestFit="1" customWidth="1"/>
    <col min="9478" max="9478" width="23.85546875" style="8" customWidth="1"/>
    <col min="9479" max="9479" width="23.28515625" style="8" customWidth="1"/>
    <col min="9480" max="9480" width="8.85546875" style="8"/>
    <col min="9481" max="9481" width="14.28515625" style="8" bestFit="1" customWidth="1"/>
    <col min="9482" max="9482" width="13.42578125" style="8" bestFit="1" customWidth="1"/>
    <col min="9483" max="9483" width="13.140625" style="8" bestFit="1" customWidth="1"/>
    <col min="9484" max="9729" width="8.85546875" style="8"/>
    <col min="9730" max="9730" width="11.28515625" style="8" customWidth="1"/>
    <col min="9731" max="9731" width="33.5703125" style="8" customWidth="1"/>
    <col min="9732" max="9732" width="14.7109375" style="8" customWidth="1"/>
    <col min="9733" max="9733" width="17.85546875" style="8" bestFit="1" customWidth="1"/>
    <col min="9734" max="9734" width="23.85546875" style="8" customWidth="1"/>
    <col min="9735" max="9735" width="23.28515625" style="8" customWidth="1"/>
    <col min="9736" max="9736" width="8.85546875" style="8"/>
    <col min="9737" max="9737" width="14.28515625" style="8" bestFit="1" customWidth="1"/>
    <col min="9738" max="9738" width="13.42578125" style="8" bestFit="1" customWidth="1"/>
    <col min="9739" max="9739" width="13.140625" style="8" bestFit="1" customWidth="1"/>
    <col min="9740" max="9985" width="8.85546875" style="8"/>
    <col min="9986" max="9986" width="11.28515625" style="8" customWidth="1"/>
    <col min="9987" max="9987" width="33.5703125" style="8" customWidth="1"/>
    <col min="9988" max="9988" width="14.7109375" style="8" customWidth="1"/>
    <col min="9989" max="9989" width="17.85546875" style="8" bestFit="1" customWidth="1"/>
    <col min="9990" max="9990" width="23.85546875" style="8" customWidth="1"/>
    <col min="9991" max="9991" width="23.28515625" style="8" customWidth="1"/>
    <col min="9992" max="9992" width="8.85546875" style="8"/>
    <col min="9993" max="9993" width="14.28515625" style="8" bestFit="1" customWidth="1"/>
    <col min="9994" max="9994" width="13.42578125" style="8" bestFit="1" customWidth="1"/>
    <col min="9995" max="9995" width="13.140625" style="8" bestFit="1" customWidth="1"/>
    <col min="9996" max="10241" width="8.85546875" style="8"/>
    <col min="10242" max="10242" width="11.28515625" style="8" customWidth="1"/>
    <col min="10243" max="10243" width="33.5703125" style="8" customWidth="1"/>
    <col min="10244" max="10244" width="14.7109375" style="8" customWidth="1"/>
    <col min="10245" max="10245" width="17.85546875" style="8" bestFit="1" customWidth="1"/>
    <col min="10246" max="10246" width="23.85546875" style="8" customWidth="1"/>
    <col min="10247" max="10247" width="23.28515625" style="8" customWidth="1"/>
    <col min="10248" max="10248" width="8.85546875" style="8"/>
    <col min="10249" max="10249" width="14.28515625" style="8" bestFit="1" customWidth="1"/>
    <col min="10250" max="10250" width="13.42578125" style="8" bestFit="1" customWidth="1"/>
    <col min="10251" max="10251" width="13.140625" style="8" bestFit="1" customWidth="1"/>
    <col min="10252" max="10497" width="8.85546875" style="8"/>
    <col min="10498" max="10498" width="11.28515625" style="8" customWidth="1"/>
    <col min="10499" max="10499" width="33.5703125" style="8" customWidth="1"/>
    <col min="10500" max="10500" width="14.7109375" style="8" customWidth="1"/>
    <col min="10501" max="10501" width="17.85546875" style="8" bestFit="1" customWidth="1"/>
    <col min="10502" max="10502" width="23.85546875" style="8" customWidth="1"/>
    <col min="10503" max="10503" width="23.28515625" style="8" customWidth="1"/>
    <col min="10504" max="10504" width="8.85546875" style="8"/>
    <col min="10505" max="10505" width="14.28515625" style="8" bestFit="1" customWidth="1"/>
    <col min="10506" max="10506" width="13.42578125" style="8" bestFit="1" customWidth="1"/>
    <col min="10507" max="10507" width="13.140625" style="8" bestFit="1" customWidth="1"/>
    <col min="10508" max="10753" width="8.85546875" style="8"/>
    <col min="10754" max="10754" width="11.28515625" style="8" customWidth="1"/>
    <col min="10755" max="10755" width="33.5703125" style="8" customWidth="1"/>
    <col min="10756" max="10756" width="14.7109375" style="8" customWidth="1"/>
    <col min="10757" max="10757" width="17.85546875" style="8" bestFit="1" customWidth="1"/>
    <col min="10758" max="10758" width="23.85546875" style="8" customWidth="1"/>
    <col min="10759" max="10759" width="23.28515625" style="8" customWidth="1"/>
    <col min="10760" max="10760" width="8.85546875" style="8"/>
    <col min="10761" max="10761" width="14.28515625" style="8" bestFit="1" customWidth="1"/>
    <col min="10762" max="10762" width="13.42578125" style="8" bestFit="1" customWidth="1"/>
    <col min="10763" max="10763" width="13.140625" style="8" bestFit="1" customWidth="1"/>
    <col min="10764" max="11009" width="8.85546875" style="8"/>
    <col min="11010" max="11010" width="11.28515625" style="8" customWidth="1"/>
    <col min="11011" max="11011" width="33.5703125" style="8" customWidth="1"/>
    <col min="11012" max="11012" width="14.7109375" style="8" customWidth="1"/>
    <col min="11013" max="11013" width="17.85546875" style="8" bestFit="1" customWidth="1"/>
    <col min="11014" max="11014" width="23.85546875" style="8" customWidth="1"/>
    <col min="11015" max="11015" width="23.28515625" style="8" customWidth="1"/>
    <col min="11016" max="11016" width="8.85546875" style="8"/>
    <col min="11017" max="11017" width="14.28515625" style="8" bestFit="1" customWidth="1"/>
    <col min="11018" max="11018" width="13.42578125" style="8" bestFit="1" customWidth="1"/>
    <col min="11019" max="11019" width="13.140625" style="8" bestFit="1" customWidth="1"/>
    <col min="11020" max="11265" width="8.85546875" style="8"/>
    <col min="11266" max="11266" width="11.28515625" style="8" customWidth="1"/>
    <col min="11267" max="11267" width="33.5703125" style="8" customWidth="1"/>
    <col min="11268" max="11268" width="14.7109375" style="8" customWidth="1"/>
    <col min="11269" max="11269" width="17.85546875" style="8" bestFit="1" customWidth="1"/>
    <col min="11270" max="11270" width="23.85546875" style="8" customWidth="1"/>
    <col min="11271" max="11271" width="23.28515625" style="8" customWidth="1"/>
    <col min="11272" max="11272" width="8.85546875" style="8"/>
    <col min="11273" max="11273" width="14.28515625" style="8" bestFit="1" customWidth="1"/>
    <col min="11274" max="11274" width="13.42578125" style="8" bestFit="1" customWidth="1"/>
    <col min="11275" max="11275" width="13.140625" style="8" bestFit="1" customWidth="1"/>
    <col min="11276" max="11521" width="8.85546875" style="8"/>
    <col min="11522" max="11522" width="11.28515625" style="8" customWidth="1"/>
    <col min="11523" max="11523" width="33.5703125" style="8" customWidth="1"/>
    <col min="11524" max="11524" width="14.7109375" style="8" customWidth="1"/>
    <col min="11525" max="11525" width="17.85546875" style="8" bestFit="1" customWidth="1"/>
    <col min="11526" max="11526" width="23.85546875" style="8" customWidth="1"/>
    <col min="11527" max="11527" width="23.28515625" style="8" customWidth="1"/>
    <col min="11528" max="11528" width="8.85546875" style="8"/>
    <col min="11529" max="11529" width="14.28515625" style="8" bestFit="1" customWidth="1"/>
    <col min="11530" max="11530" width="13.42578125" style="8" bestFit="1" customWidth="1"/>
    <col min="11531" max="11531" width="13.140625" style="8" bestFit="1" customWidth="1"/>
    <col min="11532" max="11777" width="8.85546875" style="8"/>
    <col min="11778" max="11778" width="11.28515625" style="8" customWidth="1"/>
    <col min="11779" max="11779" width="33.5703125" style="8" customWidth="1"/>
    <col min="11780" max="11780" width="14.7109375" style="8" customWidth="1"/>
    <col min="11781" max="11781" width="17.85546875" style="8" bestFit="1" customWidth="1"/>
    <col min="11782" max="11782" width="23.85546875" style="8" customWidth="1"/>
    <col min="11783" max="11783" width="23.28515625" style="8" customWidth="1"/>
    <col min="11784" max="11784" width="8.85546875" style="8"/>
    <col min="11785" max="11785" width="14.28515625" style="8" bestFit="1" customWidth="1"/>
    <col min="11786" max="11786" width="13.42578125" style="8" bestFit="1" customWidth="1"/>
    <col min="11787" max="11787" width="13.140625" style="8" bestFit="1" customWidth="1"/>
    <col min="11788" max="12033" width="8.85546875" style="8"/>
    <col min="12034" max="12034" width="11.28515625" style="8" customWidth="1"/>
    <col min="12035" max="12035" width="33.5703125" style="8" customWidth="1"/>
    <col min="12036" max="12036" width="14.7109375" style="8" customWidth="1"/>
    <col min="12037" max="12037" width="17.85546875" style="8" bestFit="1" customWidth="1"/>
    <col min="12038" max="12038" width="23.85546875" style="8" customWidth="1"/>
    <col min="12039" max="12039" width="23.28515625" style="8" customWidth="1"/>
    <col min="12040" max="12040" width="8.85546875" style="8"/>
    <col min="12041" max="12041" width="14.28515625" style="8" bestFit="1" customWidth="1"/>
    <col min="12042" max="12042" width="13.42578125" style="8" bestFit="1" customWidth="1"/>
    <col min="12043" max="12043" width="13.140625" style="8" bestFit="1" customWidth="1"/>
    <col min="12044" max="12289" width="8.85546875" style="8"/>
    <col min="12290" max="12290" width="11.28515625" style="8" customWidth="1"/>
    <col min="12291" max="12291" width="33.5703125" style="8" customWidth="1"/>
    <col min="12292" max="12292" width="14.7109375" style="8" customWidth="1"/>
    <col min="12293" max="12293" width="17.85546875" style="8" bestFit="1" customWidth="1"/>
    <col min="12294" max="12294" width="23.85546875" style="8" customWidth="1"/>
    <col min="12295" max="12295" width="23.28515625" style="8" customWidth="1"/>
    <col min="12296" max="12296" width="8.85546875" style="8"/>
    <col min="12297" max="12297" width="14.28515625" style="8" bestFit="1" customWidth="1"/>
    <col min="12298" max="12298" width="13.42578125" style="8" bestFit="1" customWidth="1"/>
    <col min="12299" max="12299" width="13.140625" style="8" bestFit="1" customWidth="1"/>
    <col min="12300" max="12545" width="8.85546875" style="8"/>
    <col min="12546" max="12546" width="11.28515625" style="8" customWidth="1"/>
    <col min="12547" max="12547" width="33.5703125" style="8" customWidth="1"/>
    <col min="12548" max="12548" width="14.7109375" style="8" customWidth="1"/>
    <col min="12549" max="12549" width="17.85546875" style="8" bestFit="1" customWidth="1"/>
    <col min="12550" max="12550" width="23.85546875" style="8" customWidth="1"/>
    <col min="12551" max="12551" width="23.28515625" style="8" customWidth="1"/>
    <col min="12552" max="12552" width="8.85546875" style="8"/>
    <col min="12553" max="12553" width="14.28515625" style="8" bestFit="1" customWidth="1"/>
    <col min="12554" max="12554" width="13.42578125" style="8" bestFit="1" customWidth="1"/>
    <col min="12555" max="12555" width="13.140625" style="8" bestFit="1" customWidth="1"/>
    <col min="12556" max="12801" width="8.85546875" style="8"/>
    <col min="12802" max="12802" width="11.28515625" style="8" customWidth="1"/>
    <col min="12803" max="12803" width="33.5703125" style="8" customWidth="1"/>
    <col min="12804" max="12804" width="14.7109375" style="8" customWidth="1"/>
    <col min="12805" max="12805" width="17.85546875" style="8" bestFit="1" customWidth="1"/>
    <col min="12806" max="12806" width="23.85546875" style="8" customWidth="1"/>
    <col min="12807" max="12807" width="23.28515625" style="8" customWidth="1"/>
    <col min="12808" max="12808" width="8.85546875" style="8"/>
    <col min="12809" max="12809" width="14.28515625" style="8" bestFit="1" customWidth="1"/>
    <col min="12810" max="12810" width="13.42578125" style="8" bestFit="1" customWidth="1"/>
    <col min="12811" max="12811" width="13.140625" style="8" bestFit="1" customWidth="1"/>
    <col min="12812" max="13057" width="8.85546875" style="8"/>
    <col min="13058" max="13058" width="11.28515625" style="8" customWidth="1"/>
    <col min="13059" max="13059" width="33.5703125" style="8" customWidth="1"/>
    <col min="13060" max="13060" width="14.7109375" style="8" customWidth="1"/>
    <col min="13061" max="13061" width="17.85546875" style="8" bestFit="1" customWidth="1"/>
    <col min="13062" max="13062" width="23.85546875" style="8" customWidth="1"/>
    <col min="13063" max="13063" width="23.28515625" style="8" customWidth="1"/>
    <col min="13064" max="13064" width="8.85546875" style="8"/>
    <col min="13065" max="13065" width="14.28515625" style="8" bestFit="1" customWidth="1"/>
    <col min="13066" max="13066" width="13.42578125" style="8" bestFit="1" customWidth="1"/>
    <col min="13067" max="13067" width="13.140625" style="8" bestFit="1" customWidth="1"/>
    <col min="13068" max="13313" width="8.85546875" style="8"/>
    <col min="13314" max="13314" width="11.28515625" style="8" customWidth="1"/>
    <col min="13315" max="13315" width="33.5703125" style="8" customWidth="1"/>
    <col min="13316" max="13316" width="14.7109375" style="8" customWidth="1"/>
    <col min="13317" max="13317" width="17.85546875" style="8" bestFit="1" customWidth="1"/>
    <col min="13318" max="13318" width="23.85546875" style="8" customWidth="1"/>
    <col min="13319" max="13319" width="23.28515625" style="8" customWidth="1"/>
    <col min="13320" max="13320" width="8.85546875" style="8"/>
    <col min="13321" max="13321" width="14.28515625" style="8" bestFit="1" customWidth="1"/>
    <col min="13322" max="13322" width="13.42578125" style="8" bestFit="1" customWidth="1"/>
    <col min="13323" max="13323" width="13.140625" style="8" bestFit="1" customWidth="1"/>
    <col min="13324" max="13569" width="8.85546875" style="8"/>
    <col min="13570" max="13570" width="11.28515625" style="8" customWidth="1"/>
    <col min="13571" max="13571" width="33.5703125" style="8" customWidth="1"/>
    <col min="13572" max="13572" width="14.7109375" style="8" customWidth="1"/>
    <col min="13573" max="13573" width="17.85546875" style="8" bestFit="1" customWidth="1"/>
    <col min="13574" max="13574" width="23.85546875" style="8" customWidth="1"/>
    <col min="13575" max="13575" width="23.28515625" style="8" customWidth="1"/>
    <col min="13576" max="13576" width="8.85546875" style="8"/>
    <col min="13577" max="13577" width="14.28515625" style="8" bestFit="1" customWidth="1"/>
    <col min="13578" max="13578" width="13.42578125" style="8" bestFit="1" customWidth="1"/>
    <col min="13579" max="13579" width="13.140625" style="8" bestFit="1" customWidth="1"/>
    <col min="13580" max="13825" width="8.85546875" style="8"/>
    <col min="13826" max="13826" width="11.28515625" style="8" customWidth="1"/>
    <col min="13827" max="13827" width="33.5703125" style="8" customWidth="1"/>
    <col min="13828" max="13828" width="14.7109375" style="8" customWidth="1"/>
    <col min="13829" max="13829" width="17.85546875" style="8" bestFit="1" customWidth="1"/>
    <col min="13830" max="13830" width="23.85546875" style="8" customWidth="1"/>
    <col min="13831" max="13831" width="23.28515625" style="8" customWidth="1"/>
    <col min="13832" max="13832" width="8.85546875" style="8"/>
    <col min="13833" max="13833" width="14.28515625" style="8" bestFit="1" customWidth="1"/>
    <col min="13834" max="13834" width="13.42578125" style="8" bestFit="1" customWidth="1"/>
    <col min="13835" max="13835" width="13.140625" style="8" bestFit="1" customWidth="1"/>
    <col min="13836" max="14081" width="8.85546875" style="8"/>
    <col min="14082" max="14082" width="11.28515625" style="8" customWidth="1"/>
    <col min="14083" max="14083" width="33.5703125" style="8" customWidth="1"/>
    <col min="14084" max="14084" width="14.7109375" style="8" customWidth="1"/>
    <col min="14085" max="14085" width="17.85546875" style="8" bestFit="1" customWidth="1"/>
    <col min="14086" max="14086" width="23.85546875" style="8" customWidth="1"/>
    <col min="14087" max="14087" width="23.28515625" style="8" customWidth="1"/>
    <col min="14088" max="14088" width="8.85546875" style="8"/>
    <col min="14089" max="14089" width="14.28515625" style="8" bestFit="1" customWidth="1"/>
    <col min="14090" max="14090" width="13.42578125" style="8" bestFit="1" customWidth="1"/>
    <col min="14091" max="14091" width="13.140625" style="8" bestFit="1" customWidth="1"/>
    <col min="14092" max="14337" width="8.85546875" style="8"/>
    <col min="14338" max="14338" width="11.28515625" style="8" customWidth="1"/>
    <col min="14339" max="14339" width="33.5703125" style="8" customWidth="1"/>
    <col min="14340" max="14340" width="14.7109375" style="8" customWidth="1"/>
    <col min="14341" max="14341" width="17.85546875" style="8" bestFit="1" customWidth="1"/>
    <col min="14342" max="14342" width="23.85546875" style="8" customWidth="1"/>
    <col min="14343" max="14343" width="23.28515625" style="8" customWidth="1"/>
    <col min="14344" max="14344" width="8.85546875" style="8"/>
    <col min="14345" max="14345" width="14.28515625" style="8" bestFit="1" customWidth="1"/>
    <col min="14346" max="14346" width="13.42578125" style="8" bestFit="1" customWidth="1"/>
    <col min="14347" max="14347" width="13.140625" style="8" bestFit="1" customWidth="1"/>
    <col min="14348" max="14593" width="8.85546875" style="8"/>
    <col min="14594" max="14594" width="11.28515625" style="8" customWidth="1"/>
    <col min="14595" max="14595" width="33.5703125" style="8" customWidth="1"/>
    <col min="14596" max="14596" width="14.7109375" style="8" customWidth="1"/>
    <col min="14597" max="14597" width="17.85546875" style="8" bestFit="1" customWidth="1"/>
    <col min="14598" max="14598" width="23.85546875" style="8" customWidth="1"/>
    <col min="14599" max="14599" width="23.28515625" style="8" customWidth="1"/>
    <col min="14600" max="14600" width="8.85546875" style="8"/>
    <col min="14601" max="14601" width="14.28515625" style="8" bestFit="1" customWidth="1"/>
    <col min="14602" max="14602" width="13.42578125" style="8" bestFit="1" customWidth="1"/>
    <col min="14603" max="14603" width="13.140625" style="8" bestFit="1" customWidth="1"/>
    <col min="14604" max="14849" width="8.85546875" style="8"/>
    <col min="14850" max="14850" width="11.28515625" style="8" customWidth="1"/>
    <col min="14851" max="14851" width="33.5703125" style="8" customWidth="1"/>
    <col min="14852" max="14852" width="14.7109375" style="8" customWidth="1"/>
    <col min="14853" max="14853" width="17.85546875" style="8" bestFit="1" customWidth="1"/>
    <col min="14854" max="14854" width="23.85546875" style="8" customWidth="1"/>
    <col min="14855" max="14855" width="23.28515625" style="8" customWidth="1"/>
    <col min="14856" max="14856" width="8.85546875" style="8"/>
    <col min="14857" max="14857" width="14.28515625" style="8" bestFit="1" customWidth="1"/>
    <col min="14858" max="14858" width="13.42578125" style="8" bestFit="1" customWidth="1"/>
    <col min="14859" max="14859" width="13.140625" style="8" bestFit="1" customWidth="1"/>
    <col min="14860" max="15105" width="8.85546875" style="8"/>
    <col min="15106" max="15106" width="11.28515625" style="8" customWidth="1"/>
    <col min="15107" max="15107" width="33.5703125" style="8" customWidth="1"/>
    <col min="15108" max="15108" width="14.7109375" style="8" customWidth="1"/>
    <col min="15109" max="15109" width="17.85546875" style="8" bestFit="1" customWidth="1"/>
    <col min="15110" max="15110" width="23.85546875" style="8" customWidth="1"/>
    <col min="15111" max="15111" width="23.28515625" style="8" customWidth="1"/>
    <col min="15112" max="15112" width="8.85546875" style="8"/>
    <col min="15113" max="15113" width="14.28515625" style="8" bestFit="1" customWidth="1"/>
    <col min="15114" max="15114" width="13.42578125" style="8" bestFit="1" customWidth="1"/>
    <col min="15115" max="15115" width="13.140625" style="8" bestFit="1" customWidth="1"/>
    <col min="15116" max="15361" width="8.85546875" style="8"/>
    <col min="15362" max="15362" width="11.28515625" style="8" customWidth="1"/>
    <col min="15363" max="15363" width="33.5703125" style="8" customWidth="1"/>
    <col min="15364" max="15364" width="14.7109375" style="8" customWidth="1"/>
    <col min="15365" max="15365" width="17.85546875" style="8" bestFit="1" customWidth="1"/>
    <col min="15366" max="15366" width="23.85546875" style="8" customWidth="1"/>
    <col min="15367" max="15367" width="23.28515625" style="8" customWidth="1"/>
    <col min="15368" max="15368" width="8.85546875" style="8"/>
    <col min="15369" max="15369" width="14.28515625" style="8" bestFit="1" customWidth="1"/>
    <col min="15370" max="15370" width="13.42578125" style="8" bestFit="1" customWidth="1"/>
    <col min="15371" max="15371" width="13.140625" style="8" bestFit="1" customWidth="1"/>
    <col min="15372" max="15617" width="8.85546875" style="8"/>
    <col min="15618" max="15618" width="11.28515625" style="8" customWidth="1"/>
    <col min="15619" max="15619" width="33.5703125" style="8" customWidth="1"/>
    <col min="15620" max="15620" width="14.7109375" style="8" customWidth="1"/>
    <col min="15621" max="15621" width="17.85546875" style="8" bestFit="1" customWidth="1"/>
    <col min="15622" max="15622" width="23.85546875" style="8" customWidth="1"/>
    <col min="15623" max="15623" width="23.28515625" style="8" customWidth="1"/>
    <col min="15624" max="15624" width="8.85546875" style="8"/>
    <col min="15625" max="15625" width="14.28515625" style="8" bestFit="1" customWidth="1"/>
    <col min="15626" max="15626" width="13.42578125" style="8" bestFit="1" customWidth="1"/>
    <col min="15627" max="15627" width="13.140625" style="8" bestFit="1" customWidth="1"/>
    <col min="15628" max="15873" width="8.85546875" style="8"/>
    <col min="15874" max="15874" width="11.28515625" style="8" customWidth="1"/>
    <col min="15875" max="15875" width="33.5703125" style="8" customWidth="1"/>
    <col min="15876" max="15876" width="14.7109375" style="8" customWidth="1"/>
    <col min="15877" max="15877" width="17.85546875" style="8" bestFit="1" customWidth="1"/>
    <col min="15878" max="15878" width="23.85546875" style="8" customWidth="1"/>
    <col min="15879" max="15879" width="23.28515625" style="8" customWidth="1"/>
    <col min="15880" max="15880" width="8.85546875" style="8"/>
    <col min="15881" max="15881" width="14.28515625" style="8" bestFit="1" customWidth="1"/>
    <col min="15882" max="15882" width="13.42578125" style="8" bestFit="1" customWidth="1"/>
    <col min="15883" max="15883" width="13.140625" style="8" bestFit="1" customWidth="1"/>
    <col min="15884" max="16129" width="8.85546875" style="8"/>
    <col min="16130" max="16130" width="11.28515625" style="8" customWidth="1"/>
    <col min="16131" max="16131" width="33.5703125" style="8" customWidth="1"/>
    <col min="16132" max="16132" width="14.7109375" style="8" customWidth="1"/>
    <col min="16133" max="16133" width="17.85546875" style="8" bestFit="1" customWidth="1"/>
    <col min="16134" max="16134" width="23.85546875" style="8" customWidth="1"/>
    <col min="16135" max="16135" width="23.28515625" style="8" customWidth="1"/>
    <col min="16136" max="16136" width="8.85546875" style="8"/>
    <col min="16137" max="16137" width="14.28515625" style="8" bestFit="1" customWidth="1"/>
    <col min="16138" max="16138" width="13.42578125" style="8" bestFit="1" customWidth="1"/>
    <col min="16139" max="16139" width="13.140625" style="8" bestFit="1" customWidth="1"/>
    <col min="16140" max="16384" width="8.85546875" style="8"/>
  </cols>
  <sheetData>
    <row r="1" spans="1:16" ht="94.5" customHeight="1" x14ac:dyDescent="0.25">
      <c r="D1" s="235"/>
      <c r="E1" s="235"/>
      <c r="F1" s="607" t="s">
        <v>723</v>
      </c>
      <c r="G1" s="607"/>
      <c r="H1" s="441"/>
    </row>
    <row r="2" spans="1:16" x14ac:dyDescent="0.25">
      <c r="F2" s="10" t="s">
        <v>458</v>
      </c>
    </row>
    <row r="4" spans="1:16" ht="18.75" x14ac:dyDescent="0.25">
      <c r="A4" s="608" t="s">
        <v>459</v>
      </c>
      <c r="B4" s="608"/>
      <c r="C4" s="608"/>
      <c r="D4" s="608"/>
      <c r="E4" s="608"/>
      <c r="F4" s="608"/>
      <c r="G4" s="608"/>
      <c r="H4" s="442"/>
      <c r="I4" s="442"/>
      <c r="J4" s="442"/>
      <c r="K4" s="442"/>
      <c r="L4" s="442"/>
      <c r="M4" s="442"/>
      <c r="N4" s="442"/>
      <c r="O4" s="442"/>
      <c r="P4" s="442"/>
    </row>
    <row r="5" spans="1:16" x14ac:dyDescent="0.25">
      <c r="C5" s="238"/>
      <c r="D5" s="238"/>
      <c r="E5" s="238"/>
      <c r="F5" s="238"/>
      <c r="G5" s="238"/>
    </row>
    <row r="6" spans="1:16" x14ac:dyDescent="0.25">
      <c r="C6" s="609" t="s">
        <v>3</v>
      </c>
      <c r="D6" s="609"/>
      <c r="E6" s="238"/>
      <c r="F6" s="238"/>
      <c r="G6" s="238"/>
    </row>
    <row r="7" spans="1:16" x14ac:dyDescent="0.25">
      <c r="C7" s="443" t="s">
        <v>4</v>
      </c>
      <c r="D7" s="239"/>
    </row>
    <row r="8" spans="1:16" x14ac:dyDescent="0.25">
      <c r="C8" s="443"/>
      <c r="D8" s="239"/>
      <c r="G8" s="239" t="s">
        <v>129</v>
      </c>
    </row>
    <row r="9" spans="1:16" ht="18.75" customHeight="1" x14ac:dyDescent="0.25">
      <c r="B9" s="594" t="s">
        <v>6</v>
      </c>
      <c r="C9" s="594" t="s">
        <v>460</v>
      </c>
      <c r="D9" s="594" t="s">
        <v>8</v>
      </c>
      <c r="E9" s="594" t="s">
        <v>134</v>
      </c>
      <c r="F9" s="594" t="s">
        <v>10</v>
      </c>
      <c r="G9" s="594"/>
    </row>
    <row r="10" spans="1:16" ht="49.5" customHeight="1" x14ac:dyDescent="0.25">
      <c r="B10" s="594"/>
      <c r="C10" s="594"/>
      <c r="D10" s="594"/>
      <c r="E10" s="594"/>
      <c r="F10" s="82" t="s">
        <v>8</v>
      </c>
      <c r="G10" s="240" t="s">
        <v>461</v>
      </c>
    </row>
    <row r="11" spans="1:16" s="72" customFormat="1" x14ac:dyDescent="0.25">
      <c r="B11" s="241">
        <v>1</v>
      </c>
      <c r="C11" s="241">
        <f>B11+1</f>
        <v>2</v>
      </c>
      <c r="D11" s="241">
        <f>C11+1</f>
        <v>3</v>
      </c>
      <c r="E11" s="241">
        <f>D11+1</f>
        <v>4</v>
      </c>
      <c r="F11" s="241">
        <f>E11+1</f>
        <v>5</v>
      </c>
      <c r="G11" s="241">
        <f>F11+1</f>
        <v>6</v>
      </c>
    </row>
    <row r="12" spans="1:16" x14ac:dyDescent="0.25">
      <c r="B12" s="242">
        <v>200000</v>
      </c>
      <c r="C12" s="243" t="s">
        <v>462</v>
      </c>
      <c r="D12" s="244">
        <f>D17+D13</f>
        <v>7600000.0000999998</v>
      </c>
      <c r="E12" s="245">
        <f>E17+E13</f>
        <v>-34627026.999898002</v>
      </c>
      <c r="F12" s="245">
        <f>F17+F13</f>
        <v>42227026.999898002</v>
      </c>
      <c r="G12" s="245">
        <f>G17+G13</f>
        <v>42227026.999898002</v>
      </c>
    </row>
    <row r="13" spans="1:16" ht="31.5" hidden="1" x14ac:dyDescent="0.25">
      <c r="B13" s="246">
        <v>202000</v>
      </c>
      <c r="C13" s="247" t="s">
        <v>463</v>
      </c>
      <c r="D13" s="244">
        <f>E13+F13</f>
        <v>0</v>
      </c>
      <c r="E13" s="245">
        <f>E14</f>
        <v>0</v>
      </c>
      <c r="F13" s="245">
        <f>F14</f>
        <v>0</v>
      </c>
      <c r="G13" s="245">
        <f>G14</f>
        <v>0</v>
      </c>
    </row>
    <row r="14" spans="1:16" ht="31.5" hidden="1" x14ac:dyDescent="0.25">
      <c r="B14" s="248">
        <v>202200</v>
      </c>
      <c r="C14" s="249" t="s">
        <v>464</v>
      </c>
      <c r="D14" s="244">
        <f>E14+F14</f>
        <v>0</v>
      </c>
      <c r="E14" s="245"/>
      <c r="F14" s="245">
        <f>F15+F16</f>
        <v>0</v>
      </c>
      <c r="G14" s="245">
        <f>G15+G16</f>
        <v>0</v>
      </c>
    </row>
    <row r="15" spans="1:16" hidden="1" x14ac:dyDescent="0.25">
      <c r="B15" s="248">
        <v>202210</v>
      </c>
      <c r="C15" s="249" t="s">
        <v>465</v>
      </c>
      <c r="D15" s="244">
        <f>E15+F15</f>
        <v>0</v>
      </c>
      <c r="E15" s="245"/>
      <c r="F15" s="245">
        <f>G15</f>
        <v>0</v>
      </c>
      <c r="G15" s="245"/>
    </row>
    <row r="16" spans="1:16" hidden="1" x14ac:dyDescent="0.25">
      <c r="B16" s="248">
        <v>202220</v>
      </c>
      <c r="C16" s="249" t="s">
        <v>466</v>
      </c>
      <c r="D16" s="244">
        <f>E16+F16</f>
        <v>0</v>
      </c>
      <c r="E16" s="245"/>
      <c r="F16" s="245">
        <f>G16</f>
        <v>0</v>
      </c>
      <c r="G16" s="245"/>
    </row>
    <row r="17" spans="1:11" ht="47.25" x14ac:dyDescent="0.25">
      <c r="B17" s="242">
        <v>208000</v>
      </c>
      <c r="C17" s="243" t="s">
        <v>467</v>
      </c>
      <c r="D17" s="245">
        <f>D18-D19+D20</f>
        <v>7600000.0000999998</v>
      </c>
      <c r="E17" s="245">
        <f>E18-E19+E20</f>
        <v>-34627026.999898002</v>
      </c>
      <c r="F17" s="245">
        <f>F18-F19+F20</f>
        <v>42227026.999898002</v>
      </c>
      <c r="G17" s="245">
        <f>G18-G19+G20</f>
        <v>42227026.999898002</v>
      </c>
    </row>
    <row r="18" spans="1:11" ht="15.75" customHeight="1" x14ac:dyDescent="0.25">
      <c r="B18" s="250">
        <v>208100</v>
      </c>
      <c r="C18" s="251" t="s">
        <v>468</v>
      </c>
      <c r="D18" s="252">
        <f>E18+F18</f>
        <v>13668709.099999899</v>
      </c>
      <c r="E18" s="199">
        <v>5059915.2899998985</v>
      </c>
      <c r="F18" s="199">
        <v>8608793.8100000005</v>
      </c>
      <c r="G18" s="199">
        <v>6540744.6999999993</v>
      </c>
    </row>
    <row r="19" spans="1:11" ht="15.75" customHeight="1" x14ac:dyDescent="0.25">
      <c r="B19" s="250">
        <v>208200</v>
      </c>
      <c r="C19" s="251" t="s">
        <v>469</v>
      </c>
      <c r="D19" s="252">
        <f>E19+F19</f>
        <v>6068709.099999899</v>
      </c>
      <c r="E19" s="199">
        <f>E18-1100000</f>
        <v>3959915.2899998985</v>
      </c>
      <c r="F19" s="199">
        <f>F18-6500000</f>
        <v>2108793.8100000005</v>
      </c>
      <c r="G19" s="199">
        <f>G18-6500000</f>
        <v>40744.699999999255</v>
      </c>
      <c r="I19" s="91">
        <f>E18-E19</f>
        <v>1100000</v>
      </c>
      <c r="J19" s="91">
        <f>F18-F19</f>
        <v>6500000</v>
      </c>
      <c r="K19" s="91">
        <f>G18-G19</f>
        <v>6500000</v>
      </c>
    </row>
    <row r="20" spans="1:11" ht="65.25" customHeight="1" x14ac:dyDescent="0.25">
      <c r="B20" s="250">
        <v>208400</v>
      </c>
      <c r="C20" s="251" t="s">
        <v>470</v>
      </c>
      <c r="D20" s="252">
        <f>E20+F20+0.0001</f>
        <v>1E-4</v>
      </c>
      <c r="E20" s="199">
        <f>-'dod 2'!J135+'dod 5'!E137</f>
        <v>-35727026.999898002</v>
      </c>
      <c r="F20" s="199">
        <f>-E20</f>
        <v>35727026.999898002</v>
      </c>
      <c r="G20" s="199">
        <f>F20</f>
        <v>35727026.999898002</v>
      </c>
      <c r="J20" s="91"/>
    </row>
    <row r="21" spans="1:11" ht="36.75" hidden="1" customHeight="1" x14ac:dyDescent="0.25">
      <c r="A21" s="8" t="s">
        <v>471</v>
      </c>
      <c r="B21" s="246">
        <v>400000</v>
      </c>
      <c r="C21" s="253" t="s">
        <v>472</v>
      </c>
      <c r="D21" s="254">
        <f>D22+D25</f>
        <v>0</v>
      </c>
      <c r="E21" s="254">
        <f>E22+E25</f>
        <v>0</v>
      </c>
      <c r="F21" s="254">
        <f>F22+F25</f>
        <v>0</v>
      </c>
      <c r="G21" s="254">
        <f>G22+G25</f>
        <v>0</v>
      </c>
      <c r="J21" s="91"/>
    </row>
    <row r="22" spans="1:11" ht="29.25" hidden="1" customHeight="1" x14ac:dyDescent="0.25">
      <c r="B22" s="246">
        <v>401000</v>
      </c>
      <c r="C22" s="253" t="s">
        <v>473</v>
      </c>
      <c r="D22" s="254">
        <f>D23</f>
        <v>0</v>
      </c>
      <c r="E22" s="254">
        <f>E23</f>
        <v>0</v>
      </c>
      <c r="F22" s="254">
        <f>F23</f>
        <v>0</v>
      </c>
      <c r="G22" s="254">
        <f>G23</f>
        <v>0</v>
      </c>
      <c r="J22" s="91"/>
    </row>
    <row r="23" spans="1:11" ht="28.5" hidden="1" customHeight="1" x14ac:dyDescent="0.25">
      <c r="B23" s="248">
        <v>401100</v>
      </c>
      <c r="C23" s="255" t="s">
        <v>474</v>
      </c>
      <c r="D23" s="256">
        <f>E23+F23</f>
        <v>0</v>
      </c>
      <c r="E23" s="257">
        <f>E24+E27</f>
        <v>0</v>
      </c>
      <c r="F23" s="257">
        <f>F24</f>
        <v>0</v>
      </c>
      <c r="G23" s="257">
        <f>G24</f>
        <v>0</v>
      </c>
      <c r="J23" s="91"/>
    </row>
    <row r="24" spans="1:11" ht="30.75" hidden="1" customHeight="1" x14ac:dyDescent="0.25">
      <c r="B24" s="258">
        <v>401102</v>
      </c>
      <c r="C24" s="259" t="s">
        <v>475</v>
      </c>
      <c r="D24" s="256">
        <f>E24+F24</f>
        <v>0</v>
      </c>
      <c r="E24" s="260"/>
      <c r="F24" s="260">
        <f>F15</f>
        <v>0</v>
      </c>
      <c r="G24" s="260">
        <f>G15</f>
        <v>0</v>
      </c>
      <c r="J24" s="91"/>
    </row>
    <row r="25" spans="1:11" ht="30.75" hidden="1" customHeight="1" x14ac:dyDescent="0.25">
      <c r="B25" s="242">
        <v>402000</v>
      </c>
      <c r="C25" s="261" t="s">
        <v>476</v>
      </c>
      <c r="D25" s="244">
        <f>E25+F25</f>
        <v>0</v>
      </c>
      <c r="E25" s="245">
        <f t="shared" ref="E25:G26" si="0">E26</f>
        <v>0</v>
      </c>
      <c r="F25" s="245">
        <f t="shared" si="0"/>
        <v>0</v>
      </c>
      <c r="G25" s="245">
        <f t="shared" si="0"/>
        <v>0</v>
      </c>
      <c r="J25" s="91"/>
    </row>
    <row r="26" spans="1:11" ht="30.75" hidden="1" customHeight="1" x14ac:dyDescent="0.25">
      <c r="B26" s="250">
        <v>402100</v>
      </c>
      <c r="C26" s="262" t="s">
        <v>477</v>
      </c>
      <c r="D26" s="252">
        <f>E26+F26</f>
        <v>0</v>
      </c>
      <c r="E26" s="199">
        <f t="shared" si="0"/>
        <v>0</v>
      </c>
      <c r="F26" s="199">
        <f t="shared" si="0"/>
        <v>0</v>
      </c>
      <c r="G26" s="199">
        <f t="shared" si="0"/>
        <v>0</v>
      </c>
      <c r="J26" s="91"/>
    </row>
    <row r="27" spans="1:11" ht="30.75" hidden="1" customHeight="1" x14ac:dyDescent="0.25">
      <c r="B27" s="250">
        <v>402102</v>
      </c>
      <c r="C27" s="262" t="s">
        <v>475</v>
      </c>
      <c r="D27" s="252">
        <f>E27+F27</f>
        <v>0</v>
      </c>
      <c r="E27" s="199"/>
      <c r="F27" s="199">
        <f>F16</f>
        <v>0</v>
      </c>
      <c r="G27" s="199">
        <f>G16</f>
        <v>0</v>
      </c>
      <c r="J27" s="91"/>
    </row>
    <row r="28" spans="1:11" s="60" customFormat="1" ht="31.5" x14ac:dyDescent="0.25">
      <c r="B28" s="81">
        <v>600000</v>
      </c>
      <c r="C28" s="263" t="s">
        <v>478</v>
      </c>
      <c r="D28" s="244">
        <f>D29</f>
        <v>7600000.0000999998</v>
      </c>
      <c r="E28" s="244">
        <f>E29</f>
        <v>-34627026.999898002</v>
      </c>
      <c r="F28" s="244">
        <f>F29</f>
        <v>42227026.999898002</v>
      </c>
      <c r="G28" s="244">
        <f>G29</f>
        <v>42227026.999898002</v>
      </c>
    </row>
    <row r="29" spans="1:11" s="60" customFormat="1" x14ac:dyDescent="0.25">
      <c r="B29" s="81">
        <v>602000</v>
      </c>
      <c r="C29" s="264" t="s">
        <v>479</v>
      </c>
      <c r="D29" s="244">
        <f>D30-D31+D32</f>
        <v>7600000.0000999998</v>
      </c>
      <c r="E29" s="244">
        <f>E30-E31+E32</f>
        <v>-34627026.999898002</v>
      </c>
      <c r="F29" s="244">
        <f>F30-F31+F32</f>
        <v>42227026.999898002</v>
      </c>
      <c r="G29" s="244">
        <f>G30-G31+G32</f>
        <v>42227026.999898002</v>
      </c>
    </row>
    <row r="30" spans="1:11" ht="15.75" customHeight="1" x14ac:dyDescent="0.25">
      <c r="B30" s="265">
        <v>602100</v>
      </c>
      <c r="C30" s="251" t="s">
        <v>480</v>
      </c>
      <c r="D30" s="252">
        <f>E30+F30</f>
        <v>13668709.099999899</v>
      </c>
      <c r="E30" s="199">
        <f t="shared" ref="E30:G31" si="1">E18</f>
        <v>5059915.2899998985</v>
      </c>
      <c r="F30" s="199">
        <f t="shared" si="1"/>
        <v>8608793.8100000005</v>
      </c>
      <c r="G30" s="199">
        <f t="shared" si="1"/>
        <v>6540744.6999999993</v>
      </c>
    </row>
    <row r="31" spans="1:11" ht="15.75" customHeight="1" x14ac:dyDescent="0.25">
      <c r="B31" s="265">
        <v>602200</v>
      </c>
      <c r="C31" s="251" t="s">
        <v>469</v>
      </c>
      <c r="D31" s="252">
        <f>E31+F31</f>
        <v>6068709.099999899</v>
      </c>
      <c r="E31" s="199">
        <f t="shared" si="1"/>
        <v>3959915.2899998985</v>
      </c>
      <c r="F31" s="199">
        <f t="shared" si="1"/>
        <v>2108793.8100000005</v>
      </c>
      <c r="G31" s="199">
        <f t="shared" si="1"/>
        <v>40744.699999999255</v>
      </c>
    </row>
    <row r="32" spans="1:11" ht="68.25" customHeight="1" x14ac:dyDescent="0.25">
      <c r="B32" s="265">
        <v>602400</v>
      </c>
      <c r="C32" s="251" t="s">
        <v>470</v>
      </c>
      <c r="D32" s="444">
        <f>E32+F32+0.0001</f>
        <v>1E-4</v>
      </c>
      <c r="E32" s="252">
        <f>E20</f>
        <v>-35727026.999898002</v>
      </c>
      <c r="F32" s="252">
        <f>F20</f>
        <v>35727026.999898002</v>
      </c>
      <c r="G32" s="252">
        <f>G20</f>
        <v>35727026.999898002</v>
      </c>
    </row>
    <row r="33" spans="1:19" s="60" customFormat="1" x14ac:dyDescent="0.25"/>
    <row r="34" spans="1:19" s="60" customFormat="1" ht="15.75" customHeight="1" x14ac:dyDescent="0.25"/>
    <row r="35" spans="1:19" x14ac:dyDescent="0.25">
      <c r="C35" s="72" t="s">
        <v>727</v>
      </c>
      <c r="F35" s="73" t="s">
        <v>728</v>
      </c>
    </row>
    <row r="36" spans="1:19" ht="35.25" customHeight="1" x14ac:dyDescent="0.25">
      <c r="A36" s="232"/>
      <c r="B36" s="232"/>
      <c r="D36" s="72"/>
      <c r="E36" s="60"/>
      <c r="I36" s="73"/>
      <c r="J36" s="233"/>
      <c r="K36" s="75"/>
      <c r="L36" s="73"/>
      <c r="N36" s="73"/>
      <c r="P36" s="73"/>
      <c r="S36" s="73">
        <f>O36-K36</f>
        <v>0</v>
      </c>
    </row>
  </sheetData>
  <mergeCells count="8">
    <mergeCell ref="F1:G1"/>
    <mergeCell ref="A4:G4"/>
    <mergeCell ref="C6:D6"/>
    <mergeCell ref="B9:B10"/>
    <mergeCell ref="C9:C10"/>
    <mergeCell ref="D9:D10"/>
    <mergeCell ref="E9:E10"/>
    <mergeCell ref="F9:G9"/>
  </mergeCells>
  <pageMargins left="0.25" right="0.21" top="0.47" bottom="0.26" header="0.22" footer="0.26"/>
  <pageSetup paperSize="9" scale="7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>
    <pageSetUpPr fitToPage="1"/>
  </sheetPr>
  <dimension ref="A1:S204"/>
  <sheetViews>
    <sheetView showZeros="0" view="pageBreakPreview" zoomScale="62" zoomScaleNormal="60" zoomScaleSheetLayoutView="62" workbookViewId="0">
      <selection activeCell="B146" sqref="A138:XFD146"/>
    </sheetView>
  </sheetViews>
  <sheetFormatPr defaultRowHeight="15.75" outlineLevelRow="1" x14ac:dyDescent="0.25"/>
  <cols>
    <col min="1" max="1" width="16.85546875" style="122" customWidth="1"/>
    <col min="2" max="2" width="17.140625" style="122" customWidth="1"/>
    <col min="3" max="3" width="19.7109375" style="6" customWidth="1"/>
    <col min="4" max="4" width="68.85546875" style="123" customWidth="1"/>
    <col min="5" max="5" width="19.140625" style="124" customWidth="1"/>
    <col min="6" max="6" width="21.140625" style="6" customWidth="1"/>
    <col min="7" max="7" width="18.7109375" style="6" customWidth="1"/>
    <col min="8" max="8" width="18" style="6" customWidth="1"/>
    <col min="9" max="9" width="16.85546875" style="6" customWidth="1"/>
    <col min="10" max="10" width="19.5703125" style="124" customWidth="1"/>
    <col min="11" max="11" width="19.140625" style="6" customWidth="1"/>
    <col min="12" max="12" width="16.7109375" style="6" customWidth="1"/>
    <col min="13" max="13" width="15" style="6" customWidth="1"/>
    <col min="14" max="14" width="15.7109375" style="6" customWidth="1"/>
    <col min="15" max="15" width="17.7109375" style="6" customWidth="1"/>
    <col min="16" max="16" width="18.5703125" style="6" customWidth="1"/>
    <col min="17" max="17" width="17.7109375" style="6" bestFit="1" customWidth="1"/>
    <col min="18" max="18" width="22.140625" style="6" customWidth="1"/>
    <col min="19" max="19" width="17.42578125" style="6" bestFit="1" customWidth="1"/>
    <col min="20" max="256" width="9.140625" style="6"/>
    <col min="257" max="257" width="16.85546875" style="6" customWidth="1"/>
    <col min="258" max="258" width="17.140625" style="6" customWidth="1"/>
    <col min="259" max="259" width="19.7109375" style="6" customWidth="1"/>
    <col min="260" max="260" width="68.85546875" style="6" customWidth="1"/>
    <col min="261" max="261" width="19.140625" style="6" customWidth="1"/>
    <col min="262" max="262" width="21.140625" style="6" customWidth="1"/>
    <col min="263" max="263" width="18.7109375" style="6" customWidth="1"/>
    <col min="264" max="264" width="18" style="6" customWidth="1"/>
    <col min="265" max="265" width="16.85546875" style="6" customWidth="1"/>
    <col min="266" max="266" width="19.5703125" style="6" customWidth="1"/>
    <col min="267" max="267" width="19.140625" style="6" customWidth="1"/>
    <col min="268" max="268" width="16.7109375" style="6" customWidth="1"/>
    <col min="269" max="269" width="15" style="6" customWidth="1"/>
    <col min="270" max="270" width="15.7109375" style="6" customWidth="1"/>
    <col min="271" max="271" width="17.7109375" style="6" customWidth="1"/>
    <col min="272" max="272" width="18.5703125" style="6" customWidth="1"/>
    <col min="273" max="273" width="17.7109375" style="6" bestFit="1" customWidth="1"/>
    <col min="274" max="274" width="22.140625" style="6" customWidth="1"/>
    <col min="275" max="275" width="17.42578125" style="6" bestFit="1" customWidth="1"/>
    <col min="276" max="512" width="9.140625" style="6"/>
    <col min="513" max="513" width="16.85546875" style="6" customWidth="1"/>
    <col min="514" max="514" width="17.140625" style="6" customWidth="1"/>
    <col min="515" max="515" width="19.7109375" style="6" customWidth="1"/>
    <col min="516" max="516" width="68.85546875" style="6" customWidth="1"/>
    <col min="517" max="517" width="19.140625" style="6" customWidth="1"/>
    <col min="518" max="518" width="21.140625" style="6" customWidth="1"/>
    <col min="519" max="519" width="18.7109375" style="6" customWidth="1"/>
    <col min="520" max="520" width="18" style="6" customWidth="1"/>
    <col min="521" max="521" width="16.85546875" style="6" customWidth="1"/>
    <col min="522" max="522" width="19.5703125" style="6" customWidth="1"/>
    <col min="523" max="523" width="19.140625" style="6" customWidth="1"/>
    <col min="524" max="524" width="16.7109375" style="6" customWidth="1"/>
    <col min="525" max="525" width="15" style="6" customWidth="1"/>
    <col min="526" max="526" width="15.7109375" style="6" customWidth="1"/>
    <col min="527" max="527" width="17.7109375" style="6" customWidth="1"/>
    <col min="528" max="528" width="18.5703125" style="6" customWidth="1"/>
    <col min="529" max="529" width="17.7109375" style="6" bestFit="1" customWidth="1"/>
    <col min="530" max="530" width="22.140625" style="6" customWidth="1"/>
    <col min="531" max="531" width="17.42578125" style="6" bestFit="1" customWidth="1"/>
    <col min="532" max="768" width="9.140625" style="6"/>
    <col min="769" max="769" width="16.85546875" style="6" customWidth="1"/>
    <col min="770" max="770" width="17.140625" style="6" customWidth="1"/>
    <col min="771" max="771" width="19.7109375" style="6" customWidth="1"/>
    <col min="772" max="772" width="68.85546875" style="6" customWidth="1"/>
    <col min="773" max="773" width="19.140625" style="6" customWidth="1"/>
    <col min="774" max="774" width="21.140625" style="6" customWidth="1"/>
    <col min="775" max="775" width="18.7109375" style="6" customWidth="1"/>
    <col min="776" max="776" width="18" style="6" customWidth="1"/>
    <col min="777" max="777" width="16.85546875" style="6" customWidth="1"/>
    <col min="778" max="778" width="19.5703125" style="6" customWidth="1"/>
    <col min="779" max="779" width="19.140625" style="6" customWidth="1"/>
    <col min="780" max="780" width="16.7109375" style="6" customWidth="1"/>
    <col min="781" max="781" width="15" style="6" customWidth="1"/>
    <col min="782" max="782" width="15.7109375" style="6" customWidth="1"/>
    <col min="783" max="783" width="17.7109375" style="6" customWidth="1"/>
    <col min="784" max="784" width="18.5703125" style="6" customWidth="1"/>
    <col min="785" max="785" width="17.7109375" style="6" bestFit="1" customWidth="1"/>
    <col min="786" max="786" width="22.140625" style="6" customWidth="1"/>
    <col min="787" max="787" width="17.42578125" style="6" bestFit="1" customWidth="1"/>
    <col min="788" max="1024" width="9.140625" style="6"/>
    <col min="1025" max="1025" width="16.85546875" style="6" customWidth="1"/>
    <col min="1026" max="1026" width="17.140625" style="6" customWidth="1"/>
    <col min="1027" max="1027" width="19.7109375" style="6" customWidth="1"/>
    <col min="1028" max="1028" width="68.85546875" style="6" customWidth="1"/>
    <col min="1029" max="1029" width="19.140625" style="6" customWidth="1"/>
    <col min="1030" max="1030" width="21.140625" style="6" customWidth="1"/>
    <col min="1031" max="1031" width="18.7109375" style="6" customWidth="1"/>
    <col min="1032" max="1032" width="18" style="6" customWidth="1"/>
    <col min="1033" max="1033" width="16.85546875" style="6" customWidth="1"/>
    <col min="1034" max="1034" width="19.5703125" style="6" customWidth="1"/>
    <col min="1035" max="1035" width="19.140625" style="6" customWidth="1"/>
    <col min="1036" max="1036" width="16.7109375" style="6" customWidth="1"/>
    <col min="1037" max="1037" width="15" style="6" customWidth="1"/>
    <col min="1038" max="1038" width="15.7109375" style="6" customWidth="1"/>
    <col min="1039" max="1039" width="17.7109375" style="6" customWidth="1"/>
    <col min="1040" max="1040" width="18.5703125" style="6" customWidth="1"/>
    <col min="1041" max="1041" width="17.7109375" style="6" bestFit="1" customWidth="1"/>
    <col min="1042" max="1042" width="22.140625" style="6" customWidth="1"/>
    <col min="1043" max="1043" width="17.42578125" style="6" bestFit="1" customWidth="1"/>
    <col min="1044" max="1280" width="9.140625" style="6"/>
    <col min="1281" max="1281" width="16.85546875" style="6" customWidth="1"/>
    <col min="1282" max="1282" width="17.140625" style="6" customWidth="1"/>
    <col min="1283" max="1283" width="19.7109375" style="6" customWidth="1"/>
    <col min="1284" max="1284" width="68.85546875" style="6" customWidth="1"/>
    <col min="1285" max="1285" width="19.140625" style="6" customWidth="1"/>
    <col min="1286" max="1286" width="21.140625" style="6" customWidth="1"/>
    <col min="1287" max="1287" width="18.7109375" style="6" customWidth="1"/>
    <col min="1288" max="1288" width="18" style="6" customWidth="1"/>
    <col min="1289" max="1289" width="16.85546875" style="6" customWidth="1"/>
    <col min="1290" max="1290" width="19.5703125" style="6" customWidth="1"/>
    <col min="1291" max="1291" width="19.140625" style="6" customWidth="1"/>
    <col min="1292" max="1292" width="16.7109375" style="6" customWidth="1"/>
    <col min="1293" max="1293" width="15" style="6" customWidth="1"/>
    <col min="1294" max="1294" width="15.7109375" style="6" customWidth="1"/>
    <col min="1295" max="1295" width="17.7109375" style="6" customWidth="1"/>
    <col min="1296" max="1296" width="18.5703125" style="6" customWidth="1"/>
    <col min="1297" max="1297" width="17.7109375" style="6" bestFit="1" customWidth="1"/>
    <col min="1298" max="1298" width="22.140625" style="6" customWidth="1"/>
    <col min="1299" max="1299" width="17.42578125" style="6" bestFit="1" customWidth="1"/>
    <col min="1300" max="1536" width="9.140625" style="6"/>
    <col min="1537" max="1537" width="16.85546875" style="6" customWidth="1"/>
    <col min="1538" max="1538" width="17.140625" style="6" customWidth="1"/>
    <col min="1539" max="1539" width="19.7109375" style="6" customWidth="1"/>
    <col min="1540" max="1540" width="68.85546875" style="6" customWidth="1"/>
    <col min="1541" max="1541" width="19.140625" style="6" customWidth="1"/>
    <col min="1542" max="1542" width="21.140625" style="6" customWidth="1"/>
    <col min="1543" max="1543" width="18.7109375" style="6" customWidth="1"/>
    <col min="1544" max="1544" width="18" style="6" customWidth="1"/>
    <col min="1545" max="1545" width="16.85546875" style="6" customWidth="1"/>
    <col min="1546" max="1546" width="19.5703125" style="6" customWidth="1"/>
    <col min="1547" max="1547" width="19.140625" style="6" customWidth="1"/>
    <col min="1548" max="1548" width="16.7109375" style="6" customWidth="1"/>
    <col min="1549" max="1549" width="15" style="6" customWidth="1"/>
    <col min="1550" max="1550" width="15.7109375" style="6" customWidth="1"/>
    <col min="1551" max="1551" width="17.7109375" style="6" customWidth="1"/>
    <col min="1552" max="1552" width="18.5703125" style="6" customWidth="1"/>
    <col min="1553" max="1553" width="17.7109375" style="6" bestFit="1" customWidth="1"/>
    <col min="1554" max="1554" width="22.140625" style="6" customWidth="1"/>
    <col min="1555" max="1555" width="17.42578125" style="6" bestFit="1" customWidth="1"/>
    <col min="1556" max="1792" width="9.140625" style="6"/>
    <col min="1793" max="1793" width="16.85546875" style="6" customWidth="1"/>
    <col min="1794" max="1794" width="17.140625" style="6" customWidth="1"/>
    <col min="1795" max="1795" width="19.7109375" style="6" customWidth="1"/>
    <col min="1796" max="1796" width="68.85546875" style="6" customWidth="1"/>
    <col min="1797" max="1797" width="19.140625" style="6" customWidth="1"/>
    <col min="1798" max="1798" width="21.140625" style="6" customWidth="1"/>
    <col min="1799" max="1799" width="18.7109375" style="6" customWidth="1"/>
    <col min="1800" max="1800" width="18" style="6" customWidth="1"/>
    <col min="1801" max="1801" width="16.85546875" style="6" customWidth="1"/>
    <col min="1802" max="1802" width="19.5703125" style="6" customWidth="1"/>
    <col min="1803" max="1803" width="19.140625" style="6" customWidth="1"/>
    <col min="1804" max="1804" width="16.7109375" style="6" customWidth="1"/>
    <col min="1805" max="1805" width="15" style="6" customWidth="1"/>
    <col min="1806" max="1806" width="15.7109375" style="6" customWidth="1"/>
    <col min="1807" max="1807" width="17.7109375" style="6" customWidth="1"/>
    <col min="1808" max="1808" width="18.5703125" style="6" customWidth="1"/>
    <col min="1809" max="1809" width="17.7109375" style="6" bestFit="1" customWidth="1"/>
    <col min="1810" max="1810" width="22.140625" style="6" customWidth="1"/>
    <col min="1811" max="1811" width="17.42578125" style="6" bestFit="1" customWidth="1"/>
    <col min="1812" max="2048" width="9.140625" style="6"/>
    <col min="2049" max="2049" width="16.85546875" style="6" customWidth="1"/>
    <col min="2050" max="2050" width="17.140625" style="6" customWidth="1"/>
    <col min="2051" max="2051" width="19.7109375" style="6" customWidth="1"/>
    <col min="2052" max="2052" width="68.85546875" style="6" customWidth="1"/>
    <col min="2053" max="2053" width="19.140625" style="6" customWidth="1"/>
    <col min="2054" max="2054" width="21.140625" style="6" customWidth="1"/>
    <col min="2055" max="2055" width="18.7109375" style="6" customWidth="1"/>
    <col min="2056" max="2056" width="18" style="6" customWidth="1"/>
    <col min="2057" max="2057" width="16.85546875" style="6" customWidth="1"/>
    <col min="2058" max="2058" width="19.5703125" style="6" customWidth="1"/>
    <col min="2059" max="2059" width="19.140625" style="6" customWidth="1"/>
    <col min="2060" max="2060" width="16.7109375" style="6" customWidth="1"/>
    <col min="2061" max="2061" width="15" style="6" customWidth="1"/>
    <col min="2062" max="2062" width="15.7109375" style="6" customWidth="1"/>
    <col min="2063" max="2063" width="17.7109375" style="6" customWidth="1"/>
    <col min="2064" max="2064" width="18.5703125" style="6" customWidth="1"/>
    <col min="2065" max="2065" width="17.7109375" style="6" bestFit="1" customWidth="1"/>
    <col min="2066" max="2066" width="22.140625" style="6" customWidth="1"/>
    <col min="2067" max="2067" width="17.42578125" style="6" bestFit="1" customWidth="1"/>
    <col min="2068" max="2304" width="9.140625" style="6"/>
    <col min="2305" max="2305" width="16.85546875" style="6" customWidth="1"/>
    <col min="2306" max="2306" width="17.140625" style="6" customWidth="1"/>
    <col min="2307" max="2307" width="19.7109375" style="6" customWidth="1"/>
    <col min="2308" max="2308" width="68.85546875" style="6" customWidth="1"/>
    <col min="2309" max="2309" width="19.140625" style="6" customWidth="1"/>
    <col min="2310" max="2310" width="21.140625" style="6" customWidth="1"/>
    <col min="2311" max="2311" width="18.7109375" style="6" customWidth="1"/>
    <col min="2312" max="2312" width="18" style="6" customWidth="1"/>
    <col min="2313" max="2313" width="16.85546875" style="6" customWidth="1"/>
    <col min="2314" max="2314" width="19.5703125" style="6" customWidth="1"/>
    <col min="2315" max="2315" width="19.140625" style="6" customWidth="1"/>
    <col min="2316" max="2316" width="16.7109375" style="6" customWidth="1"/>
    <col min="2317" max="2317" width="15" style="6" customWidth="1"/>
    <col min="2318" max="2318" width="15.7109375" style="6" customWidth="1"/>
    <col min="2319" max="2319" width="17.7109375" style="6" customWidth="1"/>
    <col min="2320" max="2320" width="18.5703125" style="6" customWidth="1"/>
    <col min="2321" max="2321" width="17.7109375" style="6" bestFit="1" customWidth="1"/>
    <col min="2322" max="2322" width="22.140625" style="6" customWidth="1"/>
    <col min="2323" max="2323" width="17.42578125" style="6" bestFit="1" customWidth="1"/>
    <col min="2324" max="2560" width="9.140625" style="6"/>
    <col min="2561" max="2561" width="16.85546875" style="6" customWidth="1"/>
    <col min="2562" max="2562" width="17.140625" style="6" customWidth="1"/>
    <col min="2563" max="2563" width="19.7109375" style="6" customWidth="1"/>
    <col min="2564" max="2564" width="68.85546875" style="6" customWidth="1"/>
    <col min="2565" max="2565" width="19.140625" style="6" customWidth="1"/>
    <col min="2566" max="2566" width="21.140625" style="6" customWidth="1"/>
    <col min="2567" max="2567" width="18.7109375" style="6" customWidth="1"/>
    <col min="2568" max="2568" width="18" style="6" customWidth="1"/>
    <col min="2569" max="2569" width="16.85546875" style="6" customWidth="1"/>
    <col min="2570" max="2570" width="19.5703125" style="6" customWidth="1"/>
    <col min="2571" max="2571" width="19.140625" style="6" customWidth="1"/>
    <col min="2572" max="2572" width="16.7109375" style="6" customWidth="1"/>
    <col min="2573" max="2573" width="15" style="6" customWidth="1"/>
    <col min="2574" max="2574" width="15.7109375" style="6" customWidth="1"/>
    <col min="2575" max="2575" width="17.7109375" style="6" customWidth="1"/>
    <col min="2576" max="2576" width="18.5703125" style="6" customWidth="1"/>
    <col min="2577" max="2577" width="17.7109375" style="6" bestFit="1" customWidth="1"/>
    <col min="2578" max="2578" width="22.140625" style="6" customWidth="1"/>
    <col min="2579" max="2579" width="17.42578125" style="6" bestFit="1" customWidth="1"/>
    <col min="2580" max="2816" width="9.140625" style="6"/>
    <col min="2817" max="2817" width="16.85546875" style="6" customWidth="1"/>
    <col min="2818" max="2818" width="17.140625" style="6" customWidth="1"/>
    <col min="2819" max="2819" width="19.7109375" style="6" customWidth="1"/>
    <col min="2820" max="2820" width="68.85546875" style="6" customWidth="1"/>
    <col min="2821" max="2821" width="19.140625" style="6" customWidth="1"/>
    <col min="2822" max="2822" width="21.140625" style="6" customWidth="1"/>
    <col min="2823" max="2823" width="18.7109375" style="6" customWidth="1"/>
    <col min="2824" max="2824" width="18" style="6" customWidth="1"/>
    <col min="2825" max="2825" width="16.85546875" style="6" customWidth="1"/>
    <col min="2826" max="2826" width="19.5703125" style="6" customWidth="1"/>
    <col min="2827" max="2827" width="19.140625" style="6" customWidth="1"/>
    <col min="2828" max="2828" width="16.7109375" style="6" customWidth="1"/>
    <col min="2829" max="2829" width="15" style="6" customWidth="1"/>
    <col min="2830" max="2830" width="15.7109375" style="6" customWidth="1"/>
    <col min="2831" max="2831" width="17.7109375" style="6" customWidth="1"/>
    <col min="2832" max="2832" width="18.5703125" style="6" customWidth="1"/>
    <col min="2833" max="2833" width="17.7109375" style="6" bestFit="1" customWidth="1"/>
    <col min="2834" max="2834" width="22.140625" style="6" customWidth="1"/>
    <col min="2835" max="2835" width="17.42578125" style="6" bestFit="1" customWidth="1"/>
    <col min="2836" max="3072" width="9.140625" style="6"/>
    <col min="3073" max="3073" width="16.85546875" style="6" customWidth="1"/>
    <col min="3074" max="3074" width="17.140625" style="6" customWidth="1"/>
    <col min="3075" max="3075" width="19.7109375" style="6" customWidth="1"/>
    <col min="3076" max="3076" width="68.85546875" style="6" customWidth="1"/>
    <col min="3077" max="3077" width="19.140625" style="6" customWidth="1"/>
    <col min="3078" max="3078" width="21.140625" style="6" customWidth="1"/>
    <col min="3079" max="3079" width="18.7109375" style="6" customWidth="1"/>
    <col min="3080" max="3080" width="18" style="6" customWidth="1"/>
    <col min="3081" max="3081" width="16.85546875" style="6" customWidth="1"/>
    <col min="3082" max="3082" width="19.5703125" style="6" customWidth="1"/>
    <col min="3083" max="3083" width="19.140625" style="6" customWidth="1"/>
    <col min="3084" max="3084" width="16.7109375" style="6" customWidth="1"/>
    <col min="3085" max="3085" width="15" style="6" customWidth="1"/>
    <col min="3086" max="3086" width="15.7109375" style="6" customWidth="1"/>
    <col min="3087" max="3087" width="17.7109375" style="6" customWidth="1"/>
    <col min="3088" max="3088" width="18.5703125" style="6" customWidth="1"/>
    <col min="3089" max="3089" width="17.7109375" style="6" bestFit="1" customWidth="1"/>
    <col min="3090" max="3090" width="22.140625" style="6" customWidth="1"/>
    <col min="3091" max="3091" width="17.42578125" style="6" bestFit="1" customWidth="1"/>
    <col min="3092" max="3328" width="9.140625" style="6"/>
    <col min="3329" max="3329" width="16.85546875" style="6" customWidth="1"/>
    <col min="3330" max="3330" width="17.140625" style="6" customWidth="1"/>
    <col min="3331" max="3331" width="19.7109375" style="6" customWidth="1"/>
    <col min="3332" max="3332" width="68.85546875" style="6" customWidth="1"/>
    <col min="3333" max="3333" width="19.140625" style="6" customWidth="1"/>
    <col min="3334" max="3334" width="21.140625" style="6" customWidth="1"/>
    <col min="3335" max="3335" width="18.7109375" style="6" customWidth="1"/>
    <col min="3336" max="3336" width="18" style="6" customWidth="1"/>
    <col min="3337" max="3337" width="16.85546875" style="6" customWidth="1"/>
    <col min="3338" max="3338" width="19.5703125" style="6" customWidth="1"/>
    <col min="3339" max="3339" width="19.140625" style="6" customWidth="1"/>
    <col min="3340" max="3340" width="16.7109375" style="6" customWidth="1"/>
    <col min="3341" max="3341" width="15" style="6" customWidth="1"/>
    <col min="3342" max="3342" width="15.7109375" style="6" customWidth="1"/>
    <col min="3343" max="3343" width="17.7109375" style="6" customWidth="1"/>
    <col min="3344" max="3344" width="18.5703125" style="6" customWidth="1"/>
    <col min="3345" max="3345" width="17.7109375" style="6" bestFit="1" customWidth="1"/>
    <col min="3346" max="3346" width="22.140625" style="6" customWidth="1"/>
    <col min="3347" max="3347" width="17.42578125" style="6" bestFit="1" customWidth="1"/>
    <col min="3348" max="3584" width="9.140625" style="6"/>
    <col min="3585" max="3585" width="16.85546875" style="6" customWidth="1"/>
    <col min="3586" max="3586" width="17.140625" style="6" customWidth="1"/>
    <col min="3587" max="3587" width="19.7109375" style="6" customWidth="1"/>
    <col min="3588" max="3588" width="68.85546875" style="6" customWidth="1"/>
    <col min="3589" max="3589" width="19.140625" style="6" customWidth="1"/>
    <col min="3590" max="3590" width="21.140625" style="6" customWidth="1"/>
    <col min="3591" max="3591" width="18.7109375" style="6" customWidth="1"/>
    <col min="3592" max="3592" width="18" style="6" customWidth="1"/>
    <col min="3593" max="3593" width="16.85546875" style="6" customWidth="1"/>
    <col min="3594" max="3594" width="19.5703125" style="6" customWidth="1"/>
    <col min="3595" max="3595" width="19.140625" style="6" customWidth="1"/>
    <col min="3596" max="3596" width="16.7109375" style="6" customWidth="1"/>
    <col min="3597" max="3597" width="15" style="6" customWidth="1"/>
    <col min="3598" max="3598" width="15.7109375" style="6" customWidth="1"/>
    <col min="3599" max="3599" width="17.7109375" style="6" customWidth="1"/>
    <col min="3600" max="3600" width="18.5703125" style="6" customWidth="1"/>
    <col min="3601" max="3601" width="17.7109375" style="6" bestFit="1" customWidth="1"/>
    <col min="3602" max="3602" width="22.140625" style="6" customWidth="1"/>
    <col min="3603" max="3603" width="17.42578125" style="6" bestFit="1" customWidth="1"/>
    <col min="3604" max="3840" width="9.140625" style="6"/>
    <col min="3841" max="3841" width="16.85546875" style="6" customWidth="1"/>
    <col min="3842" max="3842" width="17.140625" style="6" customWidth="1"/>
    <col min="3843" max="3843" width="19.7109375" style="6" customWidth="1"/>
    <col min="3844" max="3844" width="68.85546875" style="6" customWidth="1"/>
    <col min="3845" max="3845" width="19.140625" style="6" customWidth="1"/>
    <col min="3846" max="3846" width="21.140625" style="6" customWidth="1"/>
    <col min="3847" max="3847" width="18.7109375" style="6" customWidth="1"/>
    <col min="3848" max="3848" width="18" style="6" customWidth="1"/>
    <col min="3849" max="3849" width="16.85546875" style="6" customWidth="1"/>
    <col min="3850" max="3850" width="19.5703125" style="6" customWidth="1"/>
    <col min="3851" max="3851" width="19.140625" style="6" customWidth="1"/>
    <col min="3852" max="3852" width="16.7109375" style="6" customWidth="1"/>
    <col min="3853" max="3853" width="15" style="6" customWidth="1"/>
    <col min="3854" max="3854" width="15.7109375" style="6" customWidth="1"/>
    <col min="3855" max="3855" width="17.7109375" style="6" customWidth="1"/>
    <col min="3856" max="3856" width="18.5703125" style="6" customWidth="1"/>
    <col min="3857" max="3857" width="17.7109375" style="6" bestFit="1" customWidth="1"/>
    <col min="3858" max="3858" width="22.140625" style="6" customWidth="1"/>
    <col min="3859" max="3859" width="17.42578125" style="6" bestFit="1" customWidth="1"/>
    <col min="3860" max="4096" width="9.140625" style="6"/>
    <col min="4097" max="4097" width="16.85546875" style="6" customWidth="1"/>
    <col min="4098" max="4098" width="17.140625" style="6" customWidth="1"/>
    <col min="4099" max="4099" width="19.7109375" style="6" customWidth="1"/>
    <col min="4100" max="4100" width="68.85546875" style="6" customWidth="1"/>
    <col min="4101" max="4101" width="19.140625" style="6" customWidth="1"/>
    <col min="4102" max="4102" width="21.140625" style="6" customWidth="1"/>
    <col min="4103" max="4103" width="18.7109375" style="6" customWidth="1"/>
    <col min="4104" max="4104" width="18" style="6" customWidth="1"/>
    <col min="4105" max="4105" width="16.85546875" style="6" customWidth="1"/>
    <col min="4106" max="4106" width="19.5703125" style="6" customWidth="1"/>
    <col min="4107" max="4107" width="19.140625" style="6" customWidth="1"/>
    <col min="4108" max="4108" width="16.7109375" style="6" customWidth="1"/>
    <col min="4109" max="4109" width="15" style="6" customWidth="1"/>
    <col min="4110" max="4110" width="15.7109375" style="6" customWidth="1"/>
    <col min="4111" max="4111" width="17.7109375" style="6" customWidth="1"/>
    <col min="4112" max="4112" width="18.5703125" style="6" customWidth="1"/>
    <col min="4113" max="4113" width="17.7109375" style="6" bestFit="1" customWidth="1"/>
    <col min="4114" max="4114" width="22.140625" style="6" customWidth="1"/>
    <col min="4115" max="4115" width="17.42578125" style="6" bestFit="1" customWidth="1"/>
    <col min="4116" max="4352" width="9.140625" style="6"/>
    <col min="4353" max="4353" width="16.85546875" style="6" customWidth="1"/>
    <col min="4354" max="4354" width="17.140625" style="6" customWidth="1"/>
    <col min="4355" max="4355" width="19.7109375" style="6" customWidth="1"/>
    <col min="4356" max="4356" width="68.85546875" style="6" customWidth="1"/>
    <col min="4357" max="4357" width="19.140625" style="6" customWidth="1"/>
    <col min="4358" max="4358" width="21.140625" style="6" customWidth="1"/>
    <col min="4359" max="4359" width="18.7109375" style="6" customWidth="1"/>
    <col min="4360" max="4360" width="18" style="6" customWidth="1"/>
    <col min="4361" max="4361" width="16.85546875" style="6" customWidth="1"/>
    <col min="4362" max="4362" width="19.5703125" style="6" customWidth="1"/>
    <col min="4363" max="4363" width="19.140625" style="6" customWidth="1"/>
    <col min="4364" max="4364" width="16.7109375" style="6" customWidth="1"/>
    <col min="4365" max="4365" width="15" style="6" customWidth="1"/>
    <col min="4366" max="4366" width="15.7109375" style="6" customWidth="1"/>
    <col min="4367" max="4367" width="17.7109375" style="6" customWidth="1"/>
    <col min="4368" max="4368" width="18.5703125" style="6" customWidth="1"/>
    <col min="4369" max="4369" width="17.7109375" style="6" bestFit="1" customWidth="1"/>
    <col min="4370" max="4370" width="22.140625" style="6" customWidth="1"/>
    <col min="4371" max="4371" width="17.42578125" style="6" bestFit="1" customWidth="1"/>
    <col min="4372" max="4608" width="9.140625" style="6"/>
    <col min="4609" max="4609" width="16.85546875" style="6" customWidth="1"/>
    <col min="4610" max="4610" width="17.140625" style="6" customWidth="1"/>
    <col min="4611" max="4611" width="19.7109375" style="6" customWidth="1"/>
    <col min="4612" max="4612" width="68.85546875" style="6" customWidth="1"/>
    <col min="4613" max="4613" width="19.140625" style="6" customWidth="1"/>
    <col min="4614" max="4614" width="21.140625" style="6" customWidth="1"/>
    <col min="4615" max="4615" width="18.7109375" style="6" customWidth="1"/>
    <col min="4616" max="4616" width="18" style="6" customWidth="1"/>
    <col min="4617" max="4617" width="16.85546875" style="6" customWidth="1"/>
    <col min="4618" max="4618" width="19.5703125" style="6" customWidth="1"/>
    <col min="4619" max="4619" width="19.140625" style="6" customWidth="1"/>
    <col min="4620" max="4620" width="16.7109375" style="6" customWidth="1"/>
    <col min="4621" max="4621" width="15" style="6" customWidth="1"/>
    <col min="4622" max="4622" width="15.7109375" style="6" customWidth="1"/>
    <col min="4623" max="4623" width="17.7109375" style="6" customWidth="1"/>
    <col min="4624" max="4624" width="18.5703125" style="6" customWidth="1"/>
    <col min="4625" max="4625" width="17.7109375" style="6" bestFit="1" customWidth="1"/>
    <col min="4626" max="4626" width="22.140625" style="6" customWidth="1"/>
    <col min="4627" max="4627" width="17.42578125" style="6" bestFit="1" customWidth="1"/>
    <col min="4628" max="4864" width="9.140625" style="6"/>
    <col min="4865" max="4865" width="16.85546875" style="6" customWidth="1"/>
    <col min="4866" max="4866" width="17.140625" style="6" customWidth="1"/>
    <col min="4867" max="4867" width="19.7109375" style="6" customWidth="1"/>
    <col min="4868" max="4868" width="68.85546875" style="6" customWidth="1"/>
    <col min="4869" max="4869" width="19.140625" style="6" customWidth="1"/>
    <col min="4870" max="4870" width="21.140625" style="6" customWidth="1"/>
    <col min="4871" max="4871" width="18.7109375" style="6" customWidth="1"/>
    <col min="4872" max="4872" width="18" style="6" customWidth="1"/>
    <col min="4873" max="4873" width="16.85546875" style="6" customWidth="1"/>
    <col min="4874" max="4874" width="19.5703125" style="6" customWidth="1"/>
    <col min="4875" max="4875" width="19.140625" style="6" customWidth="1"/>
    <col min="4876" max="4876" width="16.7109375" style="6" customWidth="1"/>
    <col min="4877" max="4877" width="15" style="6" customWidth="1"/>
    <col min="4878" max="4878" width="15.7109375" style="6" customWidth="1"/>
    <col min="4879" max="4879" width="17.7109375" style="6" customWidth="1"/>
    <col min="4880" max="4880" width="18.5703125" style="6" customWidth="1"/>
    <col min="4881" max="4881" width="17.7109375" style="6" bestFit="1" customWidth="1"/>
    <col min="4882" max="4882" width="22.140625" style="6" customWidth="1"/>
    <col min="4883" max="4883" width="17.42578125" style="6" bestFit="1" customWidth="1"/>
    <col min="4884" max="5120" width="9.140625" style="6"/>
    <col min="5121" max="5121" width="16.85546875" style="6" customWidth="1"/>
    <col min="5122" max="5122" width="17.140625" style="6" customWidth="1"/>
    <col min="5123" max="5123" width="19.7109375" style="6" customWidth="1"/>
    <col min="5124" max="5124" width="68.85546875" style="6" customWidth="1"/>
    <col min="5125" max="5125" width="19.140625" style="6" customWidth="1"/>
    <col min="5126" max="5126" width="21.140625" style="6" customWidth="1"/>
    <col min="5127" max="5127" width="18.7109375" style="6" customWidth="1"/>
    <col min="5128" max="5128" width="18" style="6" customWidth="1"/>
    <col min="5129" max="5129" width="16.85546875" style="6" customWidth="1"/>
    <col min="5130" max="5130" width="19.5703125" style="6" customWidth="1"/>
    <col min="5131" max="5131" width="19.140625" style="6" customWidth="1"/>
    <col min="5132" max="5132" width="16.7109375" style="6" customWidth="1"/>
    <col min="5133" max="5133" width="15" style="6" customWidth="1"/>
    <col min="5134" max="5134" width="15.7109375" style="6" customWidth="1"/>
    <col min="5135" max="5135" width="17.7109375" style="6" customWidth="1"/>
    <col min="5136" max="5136" width="18.5703125" style="6" customWidth="1"/>
    <col min="5137" max="5137" width="17.7109375" style="6" bestFit="1" customWidth="1"/>
    <col min="5138" max="5138" width="22.140625" style="6" customWidth="1"/>
    <col min="5139" max="5139" width="17.42578125" style="6" bestFit="1" customWidth="1"/>
    <col min="5140" max="5376" width="9.140625" style="6"/>
    <col min="5377" max="5377" width="16.85546875" style="6" customWidth="1"/>
    <col min="5378" max="5378" width="17.140625" style="6" customWidth="1"/>
    <col min="5379" max="5379" width="19.7109375" style="6" customWidth="1"/>
    <col min="5380" max="5380" width="68.85546875" style="6" customWidth="1"/>
    <col min="5381" max="5381" width="19.140625" style="6" customWidth="1"/>
    <col min="5382" max="5382" width="21.140625" style="6" customWidth="1"/>
    <col min="5383" max="5383" width="18.7109375" style="6" customWidth="1"/>
    <col min="5384" max="5384" width="18" style="6" customWidth="1"/>
    <col min="5385" max="5385" width="16.85546875" style="6" customWidth="1"/>
    <col min="5386" max="5386" width="19.5703125" style="6" customWidth="1"/>
    <col min="5387" max="5387" width="19.140625" style="6" customWidth="1"/>
    <col min="5388" max="5388" width="16.7109375" style="6" customWidth="1"/>
    <col min="5389" max="5389" width="15" style="6" customWidth="1"/>
    <col min="5390" max="5390" width="15.7109375" style="6" customWidth="1"/>
    <col min="5391" max="5391" width="17.7109375" style="6" customWidth="1"/>
    <col min="5392" max="5392" width="18.5703125" style="6" customWidth="1"/>
    <col min="5393" max="5393" width="17.7109375" style="6" bestFit="1" customWidth="1"/>
    <col min="5394" max="5394" width="22.140625" style="6" customWidth="1"/>
    <col min="5395" max="5395" width="17.42578125" style="6" bestFit="1" customWidth="1"/>
    <col min="5396" max="5632" width="9.140625" style="6"/>
    <col min="5633" max="5633" width="16.85546875" style="6" customWidth="1"/>
    <col min="5634" max="5634" width="17.140625" style="6" customWidth="1"/>
    <col min="5635" max="5635" width="19.7109375" style="6" customWidth="1"/>
    <col min="5636" max="5636" width="68.85546875" style="6" customWidth="1"/>
    <col min="5637" max="5637" width="19.140625" style="6" customWidth="1"/>
    <col min="5638" max="5638" width="21.140625" style="6" customWidth="1"/>
    <col min="5639" max="5639" width="18.7109375" style="6" customWidth="1"/>
    <col min="5640" max="5640" width="18" style="6" customWidth="1"/>
    <col min="5641" max="5641" width="16.85546875" style="6" customWidth="1"/>
    <col min="5642" max="5642" width="19.5703125" style="6" customWidth="1"/>
    <col min="5643" max="5643" width="19.140625" style="6" customWidth="1"/>
    <col min="5644" max="5644" width="16.7109375" style="6" customWidth="1"/>
    <col min="5645" max="5645" width="15" style="6" customWidth="1"/>
    <col min="5646" max="5646" width="15.7109375" style="6" customWidth="1"/>
    <col min="5647" max="5647" width="17.7109375" style="6" customWidth="1"/>
    <col min="5648" max="5648" width="18.5703125" style="6" customWidth="1"/>
    <col min="5649" max="5649" width="17.7109375" style="6" bestFit="1" customWidth="1"/>
    <col min="5650" max="5650" width="22.140625" style="6" customWidth="1"/>
    <col min="5651" max="5651" width="17.42578125" style="6" bestFit="1" customWidth="1"/>
    <col min="5652" max="5888" width="9.140625" style="6"/>
    <col min="5889" max="5889" width="16.85546875" style="6" customWidth="1"/>
    <col min="5890" max="5890" width="17.140625" style="6" customWidth="1"/>
    <col min="5891" max="5891" width="19.7109375" style="6" customWidth="1"/>
    <col min="5892" max="5892" width="68.85546875" style="6" customWidth="1"/>
    <col min="5893" max="5893" width="19.140625" style="6" customWidth="1"/>
    <col min="5894" max="5894" width="21.140625" style="6" customWidth="1"/>
    <col min="5895" max="5895" width="18.7109375" style="6" customWidth="1"/>
    <col min="5896" max="5896" width="18" style="6" customWidth="1"/>
    <col min="5897" max="5897" width="16.85546875" style="6" customWidth="1"/>
    <col min="5898" max="5898" width="19.5703125" style="6" customWidth="1"/>
    <col min="5899" max="5899" width="19.140625" style="6" customWidth="1"/>
    <col min="5900" max="5900" width="16.7109375" style="6" customWidth="1"/>
    <col min="5901" max="5901" width="15" style="6" customWidth="1"/>
    <col min="5902" max="5902" width="15.7109375" style="6" customWidth="1"/>
    <col min="5903" max="5903" width="17.7109375" style="6" customWidth="1"/>
    <col min="5904" max="5904" width="18.5703125" style="6" customWidth="1"/>
    <col min="5905" max="5905" width="17.7109375" style="6" bestFit="1" customWidth="1"/>
    <col min="5906" max="5906" width="22.140625" style="6" customWidth="1"/>
    <col min="5907" max="5907" width="17.42578125" style="6" bestFit="1" customWidth="1"/>
    <col min="5908" max="6144" width="9.140625" style="6"/>
    <col min="6145" max="6145" width="16.85546875" style="6" customWidth="1"/>
    <col min="6146" max="6146" width="17.140625" style="6" customWidth="1"/>
    <col min="6147" max="6147" width="19.7109375" style="6" customWidth="1"/>
    <col min="6148" max="6148" width="68.85546875" style="6" customWidth="1"/>
    <col min="6149" max="6149" width="19.140625" style="6" customWidth="1"/>
    <col min="6150" max="6150" width="21.140625" style="6" customWidth="1"/>
    <col min="6151" max="6151" width="18.7109375" style="6" customWidth="1"/>
    <col min="6152" max="6152" width="18" style="6" customWidth="1"/>
    <col min="6153" max="6153" width="16.85546875" style="6" customWidth="1"/>
    <col min="6154" max="6154" width="19.5703125" style="6" customWidth="1"/>
    <col min="6155" max="6155" width="19.140625" style="6" customWidth="1"/>
    <col min="6156" max="6156" width="16.7109375" style="6" customWidth="1"/>
    <col min="6157" max="6157" width="15" style="6" customWidth="1"/>
    <col min="6158" max="6158" width="15.7109375" style="6" customWidth="1"/>
    <col min="6159" max="6159" width="17.7109375" style="6" customWidth="1"/>
    <col min="6160" max="6160" width="18.5703125" style="6" customWidth="1"/>
    <col min="6161" max="6161" width="17.7109375" style="6" bestFit="1" customWidth="1"/>
    <col min="6162" max="6162" width="22.140625" style="6" customWidth="1"/>
    <col min="6163" max="6163" width="17.42578125" style="6" bestFit="1" customWidth="1"/>
    <col min="6164" max="6400" width="9.140625" style="6"/>
    <col min="6401" max="6401" width="16.85546875" style="6" customWidth="1"/>
    <col min="6402" max="6402" width="17.140625" style="6" customWidth="1"/>
    <col min="6403" max="6403" width="19.7109375" style="6" customWidth="1"/>
    <col min="6404" max="6404" width="68.85546875" style="6" customWidth="1"/>
    <col min="6405" max="6405" width="19.140625" style="6" customWidth="1"/>
    <col min="6406" max="6406" width="21.140625" style="6" customWidth="1"/>
    <col min="6407" max="6407" width="18.7109375" style="6" customWidth="1"/>
    <col min="6408" max="6408" width="18" style="6" customWidth="1"/>
    <col min="6409" max="6409" width="16.85546875" style="6" customWidth="1"/>
    <col min="6410" max="6410" width="19.5703125" style="6" customWidth="1"/>
    <col min="6411" max="6411" width="19.140625" style="6" customWidth="1"/>
    <col min="6412" max="6412" width="16.7109375" style="6" customWidth="1"/>
    <col min="6413" max="6413" width="15" style="6" customWidth="1"/>
    <col min="6414" max="6414" width="15.7109375" style="6" customWidth="1"/>
    <col min="6415" max="6415" width="17.7109375" style="6" customWidth="1"/>
    <col min="6416" max="6416" width="18.5703125" style="6" customWidth="1"/>
    <col min="6417" max="6417" width="17.7109375" style="6" bestFit="1" customWidth="1"/>
    <col min="6418" max="6418" width="22.140625" style="6" customWidth="1"/>
    <col min="6419" max="6419" width="17.42578125" style="6" bestFit="1" customWidth="1"/>
    <col min="6420" max="6656" width="9.140625" style="6"/>
    <col min="6657" max="6657" width="16.85546875" style="6" customWidth="1"/>
    <col min="6658" max="6658" width="17.140625" style="6" customWidth="1"/>
    <col min="6659" max="6659" width="19.7109375" style="6" customWidth="1"/>
    <col min="6660" max="6660" width="68.85546875" style="6" customWidth="1"/>
    <col min="6661" max="6661" width="19.140625" style="6" customWidth="1"/>
    <col min="6662" max="6662" width="21.140625" style="6" customWidth="1"/>
    <col min="6663" max="6663" width="18.7109375" style="6" customWidth="1"/>
    <col min="6664" max="6664" width="18" style="6" customWidth="1"/>
    <col min="6665" max="6665" width="16.85546875" style="6" customWidth="1"/>
    <col min="6666" max="6666" width="19.5703125" style="6" customWidth="1"/>
    <col min="6667" max="6667" width="19.140625" style="6" customWidth="1"/>
    <col min="6668" max="6668" width="16.7109375" style="6" customWidth="1"/>
    <col min="6669" max="6669" width="15" style="6" customWidth="1"/>
    <col min="6670" max="6670" width="15.7109375" style="6" customWidth="1"/>
    <col min="6671" max="6671" width="17.7109375" style="6" customWidth="1"/>
    <col min="6672" max="6672" width="18.5703125" style="6" customWidth="1"/>
    <col min="6673" max="6673" width="17.7109375" style="6" bestFit="1" customWidth="1"/>
    <col min="6674" max="6674" width="22.140625" style="6" customWidth="1"/>
    <col min="6675" max="6675" width="17.42578125" style="6" bestFit="1" customWidth="1"/>
    <col min="6676" max="6912" width="9.140625" style="6"/>
    <col min="6913" max="6913" width="16.85546875" style="6" customWidth="1"/>
    <col min="6914" max="6914" width="17.140625" style="6" customWidth="1"/>
    <col min="6915" max="6915" width="19.7109375" style="6" customWidth="1"/>
    <col min="6916" max="6916" width="68.85546875" style="6" customWidth="1"/>
    <col min="6917" max="6917" width="19.140625" style="6" customWidth="1"/>
    <col min="6918" max="6918" width="21.140625" style="6" customWidth="1"/>
    <col min="6919" max="6919" width="18.7109375" style="6" customWidth="1"/>
    <col min="6920" max="6920" width="18" style="6" customWidth="1"/>
    <col min="6921" max="6921" width="16.85546875" style="6" customWidth="1"/>
    <col min="6922" max="6922" width="19.5703125" style="6" customWidth="1"/>
    <col min="6923" max="6923" width="19.140625" style="6" customWidth="1"/>
    <col min="6924" max="6924" width="16.7109375" style="6" customWidth="1"/>
    <col min="6925" max="6925" width="15" style="6" customWidth="1"/>
    <col min="6926" max="6926" width="15.7109375" style="6" customWidth="1"/>
    <col min="6927" max="6927" width="17.7109375" style="6" customWidth="1"/>
    <col min="6928" max="6928" width="18.5703125" style="6" customWidth="1"/>
    <col min="6929" max="6929" width="17.7109375" style="6" bestFit="1" customWidth="1"/>
    <col min="6930" max="6930" width="22.140625" style="6" customWidth="1"/>
    <col min="6931" max="6931" width="17.42578125" style="6" bestFit="1" customWidth="1"/>
    <col min="6932" max="7168" width="9.140625" style="6"/>
    <col min="7169" max="7169" width="16.85546875" style="6" customWidth="1"/>
    <col min="7170" max="7170" width="17.140625" style="6" customWidth="1"/>
    <col min="7171" max="7171" width="19.7109375" style="6" customWidth="1"/>
    <col min="7172" max="7172" width="68.85546875" style="6" customWidth="1"/>
    <col min="7173" max="7173" width="19.140625" style="6" customWidth="1"/>
    <col min="7174" max="7174" width="21.140625" style="6" customWidth="1"/>
    <col min="7175" max="7175" width="18.7109375" style="6" customWidth="1"/>
    <col min="7176" max="7176" width="18" style="6" customWidth="1"/>
    <col min="7177" max="7177" width="16.85546875" style="6" customWidth="1"/>
    <col min="7178" max="7178" width="19.5703125" style="6" customWidth="1"/>
    <col min="7179" max="7179" width="19.140625" style="6" customWidth="1"/>
    <col min="7180" max="7180" width="16.7109375" style="6" customWidth="1"/>
    <col min="7181" max="7181" width="15" style="6" customWidth="1"/>
    <col min="7182" max="7182" width="15.7109375" style="6" customWidth="1"/>
    <col min="7183" max="7183" width="17.7109375" style="6" customWidth="1"/>
    <col min="7184" max="7184" width="18.5703125" style="6" customWidth="1"/>
    <col min="7185" max="7185" width="17.7109375" style="6" bestFit="1" customWidth="1"/>
    <col min="7186" max="7186" width="22.140625" style="6" customWidth="1"/>
    <col min="7187" max="7187" width="17.42578125" style="6" bestFit="1" customWidth="1"/>
    <col min="7188" max="7424" width="9.140625" style="6"/>
    <col min="7425" max="7425" width="16.85546875" style="6" customWidth="1"/>
    <col min="7426" max="7426" width="17.140625" style="6" customWidth="1"/>
    <col min="7427" max="7427" width="19.7109375" style="6" customWidth="1"/>
    <col min="7428" max="7428" width="68.85546875" style="6" customWidth="1"/>
    <col min="7429" max="7429" width="19.140625" style="6" customWidth="1"/>
    <col min="7430" max="7430" width="21.140625" style="6" customWidth="1"/>
    <col min="7431" max="7431" width="18.7109375" style="6" customWidth="1"/>
    <col min="7432" max="7432" width="18" style="6" customWidth="1"/>
    <col min="7433" max="7433" width="16.85546875" style="6" customWidth="1"/>
    <col min="7434" max="7434" width="19.5703125" style="6" customWidth="1"/>
    <col min="7435" max="7435" width="19.140625" style="6" customWidth="1"/>
    <col min="7436" max="7436" width="16.7109375" style="6" customWidth="1"/>
    <col min="7437" max="7437" width="15" style="6" customWidth="1"/>
    <col min="7438" max="7438" width="15.7109375" style="6" customWidth="1"/>
    <col min="7439" max="7439" width="17.7109375" style="6" customWidth="1"/>
    <col min="7440" max="7440" width="18.5703125" style="6" customWidth="1"/>
    <col min="7441" max="7441" width="17.7109375" style="6" bestFit="1" customWidth="1"/>
    <col min="7442" max="7442" width="22.140625" style="6" customWidth="1"/>
    <col min="7443" max="7443" width="17.42578125" style="6" bestFit="1" customWidth="1"/>
    <col min="7444" max="7680" width="9.140625" style="6"/>
    <col min="7681" max="7681" width="16.85546875" style="6" customWidth="1"/>
    <col min="7682" max="7682" width="17.140625" style="6" customWidth="1"/>
    <col min="7683" max="7683" width="19.7109375" style="6" customWidth="1"/>
    <col min="7684" max="7684" width="68.85546875" style="6" customWidth="1"/>
    <col min="7685" max="7685" width="19.140625" style="6" customWidth="1"/>
    <col min="7686" max="7686" width="21.140625" style="6" customWidth="1"/>
    <col min="7687" max="7687" width="18.7109375" style="6" customWidth="1"/>
    <col min="7688" max="7688" width="18" style="6" customWidth="1"/>
    <col min="7689" max="7689" width="16.85546875" style="6" customWidth="1"/>
    <col min="7690" max="7690" width="19.5703125" style="6" customWidth="1"/>
    <col min="7691" max="7691" width="19.140625" style="6" customWidth="1"/>
    <col min="7692" max="7692" width="16.7109375" style="6" customWidth="1"/>
    <col min="7693" max="7693" width="15" style="6" customWidth="1"/>
    <col min="7694" max="7694" width="15.7109375" style="6" customWidth="1"/>
    <col min="7695" max="7695" width="17.7109375" style="6" customWidth="1"/>
    <col min="7696" max="7696" width="18.5703125" style="6" customWidth="1"/>
    <col min="7697" max="7697" width="17.7109375" style="6" bestFit="1" customWidth="1"/>
    <col min="7698" max="7698" width="22.140625" style="6" customWidth="1"/>
    <col min="7699" max="7699" width="17.42578125" style="6" bestFit="1" customWidth="1"/>
    <col min="7700" max="7936" width="9.140625" style="6"/>
    <col min="7937" max="7937" width="16.85546875" style="6" customWidth="1"/>
    <col min="7938" max="7938" width="17.140625" style="6" customWidth="1"/>
    <col min="7939" max="7939" width="19.7109375" style="6" customWidth="1"/>
    <col min="7940" max="7940" width="68.85546875" style="6" customWidth="1"/>
    <col min="7941" max="7941" width="19.140625" style="6" customWidth="1"/>
    <col min="7942" max="7942" width="21.140625" style="6" customWidth="1"/>
    <col min="7943" max="7943" width="18.7109375" style="6" customWidth="1"/>
    <col min="7944" max="7944" width="18" style="6" customWidth="1"/>
    <col min="7945" max="7945" width="16.85546875" style="6" customWidth="1"/>
    <col min="7946" max="7946" width="19.5703125" style="6" customWidth="1"/>
    <col min="7947" max="7947" width="19.140625" style="6" customWidth="1"/>
    <col min="7948" max="7948" width="16.7109375" style="6" customWidth="1"/>
    <col min="7949" max="7949" width="15" style="6" customWidth="1"/>
    <col min="7950" max="7950" width="15.7109375" style="6" customWidth="1"/>
    <col min="7951" max="7951" width="17.7109375" style="6" customWidth="1"/>
    <col min="7952" max="7952" width="18.5703125" style="6" customWidth="1"/>
    <col min="7953" max="7953" width="17.7109375" style="6" bestFit="1" customWidth="1"/>
    <col min="7954" max="7954" width="22.140625" style="6" customWidth="1"/>
    <col min="7955" max="7955" width="17.42578125" style="6" bestFit="1" customWidth="1"/>
    <col min="7956" max="8192" width="9.140625" style="6"/>
    <col min="8193" max="8193" width="16.85546875" style="6" customWidth="1"/>
    <col min="8194" max="8194" width="17.140625" style="6" customWidth="1"/>
    <col min="8195" max="8195" width="19.7109375" style="6" customWidth="1"/>
    <col min="8196" max="8196" width="68.85546875" style="6" customWidth="1"/>
    <col min="8197" max="8197" width="19.140625" style="6" customWidth="1"/>
    <col min="8198" max="8198" width="21.140625" style="6" customWidth="1"/>
    <col min="8199" max="8199" width="18.7109375" style="6" customWidth="1"/>
    <col min="8200" max="8200" width="18" style="6" customWidth="1"/>
    <col min="8201" max="8201" width="16.85546875" style="6" customWidth="1"/>
    <col min="8202" max="8202" width="19.5703125" style="6" customWidth="1"/>
    <col min="8203" max="8203" width="19.140625" style="6" customWidth="1"/>
    <col min="8204" max="8204" width="16.7109375" style="6" customWidth="1"/>
    <col min="8205" max="8205" width="15" style="6" customWidth="1"/>
    <col min="8206" max="8206" width="15.7109375" style="6" customWidth="1"/>
    <col min="8207" max="8207" width="17.7109375" style="6" customWidth="1"/>
    <col min="8208" max="8208" width="18.5703125" style="6" customWidth="1"/>
    <col min="8209" max="8209" width="17.7109375" style="6" bestFit="1" customWidth="1"/>
    <col min="8210" max="8210" width="22.140625" style="6" customWidth="1"/>
    <col min="8211" max="8211" width="17.42578125" style="6" bestFit="1" customWidth="1"/>
    <col min="8212" max="8448" width="9.140625" style="6"/>
    <col min="8449" max="8449" width="16.85546875" style="6" customWidth="1"/>
    <col min="8450" max="8450" width="17.140625" style="6" customWidth="1"/>
    <col min="8451" max="8451" width="19.7109375" style="6" customWidth="1"/>
    <col min="8452" max="8452" width="68.85546875" style="6" customWidth="1"/>
    <col min="8453" max="8453" width="19.140625" style="6" customWidth="1"/>
    <col min="8454" max="8454" width="21.140625" style="6" customWidth="1"/>
    <col min="8455" max="8455" width="18.7109375" style="6" customWidth="1"/>
    <col min="8456" max="8456" width="18" style="6" customWidth="1"/>
    <col min="8457" max="8457" width="16.85546875" style="6" customWidth="1"/>
    <col min="8458" max="8458" width="19.5703125" style="6" customWidth="1"/>
    <col min="8459" max="8459" width="19.140625" style="6" customWidth="1"/>
    <col min="8460" max="8460" width="16.7109375" style="6" customWidth="1"/>
    <col min="8461" max="8461" width="15" style="6" customWidth="1"/>
    <col min="8462" max="8462" width="15.7109375" style="6" customWidth="1"/>
    <col min="8463" max="8463" width="17.7109375" style="6" customWidth="1"/>
    <col min="8464" max="8464" width="18.5703125" style="6" customWidth="1"/>
    <col min="8465" max="8465" width="17.7109375" style="6" bestFit="1" customWidth="1"/>
    <col min="8466" max="8466" width="22.140625" style="6" customWidth="1"/>
    <col min="8467" max="8467" width="17.42578125" style="6" bestFit="1" customWidth="1"/>
    <col min="8468" max="8704" width="9.140625" style="6"/>
    <col min="8705" max="8705" width="16.85546875" style="6" customWidth="1"/>
    <col min="8706" max="8706" width="17.140625" style="6" customWidth="1"/>
    <col min="8707" max="8707" width="19.7109375" style="6" customWidth="1"/>
    <col min="8708" max="8708" width="68.85546875" style="6" customWidth="1"/>
    <col min="8709" max="8709" width="19.140625" style="6" customWidth="1"/>
    <col min="8710" max="8710" width="21.140625" style="6" customWidth="1"/>
    <col min="8711" max="8711" width="18.7109375" style="6" customWidth="1"/>
    <col min="8712" max="8712" width="18" style="6" customWidth="1"/>
    <col min="8713" max="8713" width="16.85546875" style="6" customWidth="1"/>
    <col min="8714" max="8714" width="19.5703125" style="6" customWidth="1"/>
    <col min="8715" max="8715" width="19.140625" style="6" customWidth="1"/>
    <col min="8716" max="8716" width="16.7109375" style="6" customWidth="1"/>
    <col min="8717" max="8717" width="15" style="6" customWidth="1"/>
    <col min="8718" max="8718" width="15.7109375" style="6" customWidth="1"/>
    <col min="8719" max="8719" width="17.7109375" style="6" customWidth="1"/>
    <col min="8720" max="8720" width="18.5703125" style="6" customWidth="1"/>
    <col min="8721" max="8721" width="17.7109375" style="6" bestFit="1" customWidth="1"/>
    <col min="8722" max="8722" width="22.140625" style="6" customWidth="1"/>
    <col min="8723" max="8723" width="17.42578125" style="6" bestFit="1" customWidth="1"/>
    <col min="8724" max="8960" width="9.140625" style="6"/>
    <col min="8961" max="8961" width="16.85546875" style="6" customWidth="1"/>
    <col min="8962" max="8962" width="17.140625" style="6" customWidth="1"/>
    <col min="8963" max="8963" width="19.7109375" style="6" customWidth="1"/>
    <col min="8964" max="8964" width="68.85546875" style="6" customWidth="1"/>
    <col min="8965" max="8965" width="19.140625" style="6" customWidth="1"/>
    <col min="8966" max="8966" width="21.140625" style="6" customWidth="1"/>
    <col min="8967" max="8967" width="18.7109375" style="6" customWidth="1"/>
    <col min="8968" max="8968" width="18" style="6" customWidth="1"/>
    <col min="8969" max="8969" width="16.85546875" style="6" customWidth="1"/>
    <col min="8970" max="8970" width="19.5703125" style="6" customWidth="1"/>
    <col min="8971" max="8971" width="19.140625" style="6" customWidth="1"/>
    <col min="8972" max="8972" width="16.7109375" style="6" customWidth="1"/>
    <col min="8973" max="8973" width="15" style="6" customWidth="1"/>
    <col min="8974" max="8974" width="15.7109375" style="6" customWidth="1"/>
    <col min="8975" max="8975" width="17.7109375" style="6" customWidth="1"/>
    <col min="8976" max="8976" width="18.5703125" style="6" customWidth="1"/>
    <col min="8977" max="8977" width="17.7109375" style="6" bestFit="1" customWidth="1"/>
    <col min="8978" max="8978" width="22.140625" style="6" customWidth="1"/>
    <col min="8979" max="8979" width="17.42578125" style="6" bestFit="1" customWidth="1"/>
    <col min="8980" max="9216" width="9.140625" style="6"/>
    <col min="9217" max="9217" width="16.85546875" style="6" customWidth="1"/>
    <col min="9218" max="9218" width="17.140625" style="6" customWidth="1"/>
    <col min="9219" max="9219" width="19.7109375" style="6" customWidth="1"/>
    <col min="9220" max="9220" width="68.85546875" style="6" customWidth="1"/>
    <col min="9221" max="9221" width="19.140625" style="6" customWidth="1"/>
    <col min="9222" max="9222" width="21.140625" style="6" customWidth="1"/>
    <col min="9223" max="9223" width="18.7109375" style="6" customWidth="1"/>
    <col min="9224" max="9224" width="18" style="6" customWidth="1"/>
    <col min="9225" max="9225" width="16.85546875" style="6" customWidth="1"/>
    <col min="9226" max="9226" width="19.5703125" style="6" customWidth="1"/>
    <col min="9227" max="9227" width="19.140625" style="6" customWidth="1"/>
    <col min="9228" max="9228" width="16.7109375" style="6" customWidth="1"/>
    <col min="9229" max="9229" width="15" style="6" customWidth="1"/>
    <col min="9230" max="9230" width="15.7109375" style="6" customWidth="1"/>
    <col min="9231" max="9231" width="17.7109375" style="6" customWidth="1"/>
    <col min="9232" max="9232" width="18.5703125" style="6" customWidth="1"/>
    <col min="9233" max="9233" width="17.7109375" style="6" bestFit="1" customWidth="1"/>
    <col min="9234" max="9234" width="22.140625" style="6" customWidth="1"/>
    <col min="9235" max="9235" width="17.42578125" style="6" bestFit="1" customWidth="1"/>
    <col min="9236" max="9472" width="9.140625" style="6"/>
    <col min="9473" max="9473" width="16.85546875" style="6" customWidth="1"/>
    <col min="9474" max="9474" width="17.140625" style="6" customWidth="1"/>
    <col min="9475" max="9475" width="19.7109375" style="6" customWidth="1"/>
    <col min="9476" max="9476" width="68.85546875" style="6" customWidth="1"/>
    <col min="9477" max="9477" width="19.140625" style="6" customWidth="1"/>
    <col min="9478" max="9478" width="21.140625" style="6" customWidth="1"/>
    <col min="9479" max="9479" width="18.7109375" style="6" customWidth="1"/>
    <col min="9480" max="9480" width="18" style="6" customWidth="1"/>
    <col min="9481" max="9481" width="16.85546875" style="6" customWidth="1"/>
    <col min="9482" max="9482" width="19.5703125" style="6" customWidth="1"/>
    <col min="9483" max="9483" width="19.140625" style="6" customWidth="1"/>
    <col min="9484" max="9484" width="16.7109375" style="6" customWidth="1"/>
    <col min="9485" max="9485" width="15" style="6" customWidth="1"/>
    <col min="9486" max="9486" width="15.7109375" style="6" customWidth="1"/>
    <col min="9487" max="9487" width="17.7109375" style="6" customWidth="1"/>
    <col min="9488" max="9488" width="18.5703125" style="6" customWidth="1"/>
    <col min="9489" max="9489" width="17.7109375" style="6" bestFit="1" customWidth="1"/>
    <col min="9490" max="9490" width="22.140625" style="6" customWidth="1"/>
    <col min="9491" max="9491" width="17.42578125" style="6" bestFit="1" customWidth="1"/>
    <col min="9492" max="9728" width="9.140625" style="6"/>
    <col min="9729" max="9729" width="16.85546875" style="6" customWidth="1"/>
    <col min="9730" max="9730" width="17.140625" style="6" customWidth="1"/>
    <col min="9731" max="9731" width="19.7109375" style="6" customWidth="1"/>
    <col min="9732" max="9732" width="68.85546875" style="6" customWidth="1"/>
    <col min="9733" max="9733" width="19.140625" style="6" customWidth="1"/>
    <col min="9734" max="9734" width="21.140625" style="6" customWidth="1"/>
    <col min="9735" max="9735" width="18.7109375" style="6" customWidth="1"/>
    <col min="9736" max="9736" width="18" style="6" customWidth="1"/>
    <col min="9737" max="9737" width="16.85546875" style="6" customWidth="1"/>
    <col min="9738" max="9738" width="19.5703125" style="6" customWidth="1"/>
    <col min="9739" max="9739" width="19.140625" style="6" customWidth="1"/>
    <col min="9740" max="9740" width="16.7109375" style="6" customWidth="1"/>
    <col min="9741" max="9741" width="15" style="6" customWidth="1"/>
    <col min="9742" max="9742" width="15.7109375" style="6" customWidth="1"/>
    <col min="9743" max="9743" width="17.7109375" style="6" customWidth="1"/>
    <col min="9744" max="9744" width="18.5703125" style="6" customWidth="1"/>
    <col min="9745" max="9745" width="17.7109375" style="6" bestFit="1" customWidth="1"/>
    <col min="9746" max="9746" width="22.140625" style="6" customWidth="1"/>
    <col min="9747" max="9747" width="17.42578125" style="6" bestFit="1" customWidth="1"/>
    <col min="9748" max="9984" width="9.140625" style="6"/>
    <col min="9985" max="9985" width="16.85546875" style="6" customWidth="1"/>
    <col min="9986" max="9986" width="17.140625" style="6" customWidth="1"/>
    <col min="9987" max="9987" width="19.7109375" style="6" customWidth="1"/>
    <col min="9988" max="9988" width="68.85546875" style="6" customWidth="1"/>
    <col min="9989" max="9989" width="19.140625" style="6" customWidth="1"/>
    <col min="9990" max="9990" width="21.140625" style="6" customWidth="1"/>
    <col min="9991" max="9991" width="18.7109375" style="6" customWidth="1"/>
    <col min="9992" max="9992" width="18" style="6" customWidth="1"/>
    <col min="9993" max="9993" width="16.85546875" style="6" customWidth="1"/>
    <col min="9994" max="9994" width="19.5703125" style="6" customWidth="1"/>
    <col min="9995" max="9995" width="19.140625" style="6" customWidth="1"/>
    <col min="9996" max="9996" width="16.7109375" style="6" customWidth="1"/>
    <col min="9997" max="9997" width="15" style="6" customWidth="1"/>
    <col min="9998" max="9998" width="15.7109375" style="6" customWidth="1"/>
    <col min="9999" max="9999" width="17.7109375" style="6" customWidth="1"/>
    <col min="10000" max="10000" width="18.5703125" style="6" customWidth="1"/>
    <col min="10001" max="10001" width="17.7109375" style="6" bestFit="1" customWidth="1"/>
    <col min="10002" max="10002" width="22.140625" style="6" customWidth="1"/>
    <col min="10003" max="10003" width="17.42578125" style="6" bestFit="1" customWidth="1"/>
    <col min="10004" max="10240" width="9.140625" style="6"/>
    <col min="10241" max="10241" width="16.85546875" style="6" customWidth="1"/>
    <col min="10242" max="10242" width="17.140625" style="6" customWidth="1"/>
    <col min="10243" max="10243" width="19.7109375" style="6" customWidth="1"/>
    <col min="10244" max="10244" width="68.85546875" style="6" customWidth="1"/>
    <col min="10245" max="10245" width="19.140625" style="6" customWidth="1"/>
    <col min="10246" max="10246" width="21.140625" style="6" customWidth="1"/>
    <col min="10247" max="10247" width="18.7109375" style="6" customWidth="1"/>
    <col min="10248" max="10248" width="18" style="6" customWidth="1"/>
    <col min="10249" max="10249" width="16.85546875" style="6" customWidth="1"/>
    <col min="10250" max="10250" width="19.5703125" style="6" customWidth="1"/>
    <col min="10251" max="10251" width="19.140625" style="6" customWidth="1"/>
    <col min="10252" max="10252" width="16.7109375" style="6" customWidth="1"/>
    <col min="10253" max="10253" width="15" style="6" customWidth="1"/>
    <col min="10254" max="10254" width="15.7109375" style="6" customWidth="1"/>
    <col min="10255" max="10255" width="17.7109375" style="6" customWidth="1"/>
    <col min="10256" max="10256" width="18.5703125" style="6" customWidth="1"/>
    <col min="10257" max="10257" width="17.7109375" style="6" bestFit="1" customWidth="1"/>
    <col min="10258" max="10258" width="22.140625" style="6" customWidth="1"/>
    <col min="10259" max="10259" width="17.42578125" style="6" bestFit="1" customWidth="1"/>
    <col min="10260" max="10496" width="9.140625" style="6"/>
    <col min="10497" max="10497" width="16.85546875" style="6" customWidth="1"/>
    <col min="10498" max="10498" width="17.140625" style="6" customWidth="1"/>
    <col min="10499" max="10499" width="19.7109375" style="6" customWidth="1"/>
    <col min="10500" max="10500" width="68.85546875" style="6" customWidth="1"/>
    <col min="10501" max="10501" width="19.140625" style="6" customWidth="1"/>
    <col min="10502" max="10502" width="21.140625" style="6" customWidth="1"/>
    <col min="10503" max="10503" width="18.7109375" style="6" customWidth="1"/>
    <col min="10504" max="10504" width="18" style="6" customWidth="1"/>
    <col min="10505" max="10505" width="16.85546875" style="6" customWidth="1"/>
    <col min="10506" max="10506" width="19.5703125" style="6" customWidth="1"/>
    <col min="10507" max="10507" width="19.140625" style="6" customWidth="1"/>
    <col min="10508" max="10508" width="16.7109375" style="6" customWidth="1"/>
    <col min="10509" max="10509" width="15" style="6" customWidth="1"/>
    <col min="10510" max="10510" width="15.7109375" style="6" customWidth="1"/>
    <col min="10511" max="10511" width="17.7109375" style="6" customWidth="1"/>
    <col min="10512" max="10512" width="18.5703125" style="6" customWidth="1"/>
    <col min="10513" max="10513" width="17.7109375" style="6" bestFit="1" customWidth="1"/>
    <col min="10514" max="10514" width="22.140625" style="6" customWidth="1"/>
    <col min="10515" max="10515" width="17.42578125" style="6" bestFit="1" customWidth="1"/>
    <col min="10516" max="10752" width="9.140625" style="6"/>
    <col min="10753" max="10753" width="16.85546875" style="6" customWidth="1"/>
    <col min="10754" max="10754" width="17.140625" style="6" customWidth="1"/>
    <col min="10755" max="10755" width="19.7109375" style="6" customWidth="1"/>
    <col min="10756" max="10756" width="68.85546875" style="6" customWidth="1"/>
    <col min="10757" max="10757" width="19.140625" style="6" customWidth="1"/>
    <col min="10758" max="10758" width="21.140625" style="6" customWidth="1"/>
    <col min="10759" max="10759" width="18.7109375" style="6" customWidth="1"/>
    <col min="10760" max="10760" width="18" style="6" customWidth="1"/>
    <col min="10761" max="10761" width="16.85546875" style="6" customWidth="1"/>
    <col min="10762" max="10762" width="19.5703125" style="6" customWidth="1"/>
    <col min="10763" max="10763" width="19.140625" style="6" customWidth="1"/>
    <col min="10764" max="10764" width="16.7109375" style="6" customWidth="1"/>
    <col min="10765" max="10765" width="15" style="6" customWidth="1"/>
    <col min="10766" max="10766" width="15.7109375" style="6" customWidth="1"/>
    <col min="10767" max="10767" width="17.7109375" style="6" customWidth="1"/>
    <col min="10768" max="10768" width="18.5703125" style="6" customWidth="1"/>
    <col min="10769" max="10769" width="17.7109375" style="6" bestFit="1" customWidth="1"/>
    <col min="10770" max="10770" width="22.140625" style="6" customWidth="1"/>
    <col min="10771" max="10771" width="17.42578125" style="6" bestFit="1" customWidth="1"/>
    <col min="10772" max="11008" width="9.140625" style="6"/>
    <col min="11009" max="11009" width="16.85546875" style="6" customWidth="1"/>
    <col min="11010" max="11010" width="17.140625" style="6" customWidth="1"/>
    <col min="11011" max="11011" width="19.7109375" style="6" customWidth="1"/>
    <col min="11012" max="11012" width="68.85546875" style="6" customWidth="1"/>
    <col min="11013" max="11013" width="19.140625" style="6" customWidth="1"/>
    <col min="11014" max="11014" width="21.140625" style="6" customWidth="1"/>
    <col min="11015" max="11015" width="18.7109375" style="6" customWidth="1"/>
    <col min="11016" max="11016" width="18" style="6" customWidth="1"/>
    <col min="11017" max="11017" width="16.85546875" style="6" customWidth="1"/>
    <col min="11018" max="11018" width="19.5703125" style="6" customWidth="1"/>
    <col min="11019" max="11019" width="19.140625" style="6" customWidth="1"/>
    <col min="11020" max="11020" width="16.7109375" style="6" customWidth="1"/>
    <col min="11021" max="11021" width="15" style="6" customWidth="1"/>
    <col min="11022" max="11022" width="15.7109375" style="6" customWidth="1"/>
    <col min="11023" max="11023" width="17.7109375" style="6" customWidth="1"/>
    <col min="11024" max="11024" width="18.5703125" style="6" customWidth="1"/>
    <col min="11025" max="11025" width="17.7109375" style="6" bestFit="1" customWidth="1"/>
    <col min="11026" max="11026" width="22.140625" style="6" customWidth="1"/>
    <col min="11027" max="11027" width="17.42578125" style="6" bestFit="1" customWidth="1"/>
    <col min="11028" max="11264" width="9.140625" style="6"/>
    <col min="11265" max="11265" width="16.85546875" style="6" customWidth="1"/>
    <col min="11266" max="11266" width="17.140625" style="6" customWidth="1"/>
    <col min="11267" max="11267" width="19.7109375" style="6" customWidth="1"/>
    <col min="11268" max="11268" width="68.85546875" style="6" customWidth="1"/>
    <col min="11269" max="11269" width="19.140625" style="6" customWidth="1"/>
    <col min="11270" max="11270" width="21.140625" style="6" customWidth="1"/>
    <col min="11271" max="11271" width="18.7109375" style="6" customWidth="1"/>
    <col min="11272" max="11272" width="18" style="6" customWidth="1"/>
    <col min="11273" max="11273" width="16.85546875" style="6" customWidth="1"/>
    <col min="11274" max="11274" width="19.5703125" style="6" customWidth="1"/>
    <col min="11275" max="11275" width="19.140625" style="6" customWidth="1"/>
    <col min="11276" max="11276" width="16.7109375" style="6" customWidth="1"/>
    <col min="11277" max="11277" width="15" style="6" customWidth="1"/>
    <col min="11278" max="11278" width="15.7109375" style="6" customWidth="1"/>
    <col min="11279" max="11279" width="17.7109375" style="6" customWidth="1"/>
    <col min="11280" max="11280" width="18.5703125" style="6" customWidth="1"/>
    <col min="11281" max="11281" width="17.7109375" style="6" bestFit="1" customWidth="1"/>
    <col min="11282" max="11282" width="22.140625" style="6" customWidth="1"/>
    <col min="11283" max="11283" width="17.42578125" style="6" bestFit="1" customWidth="1"/>
    <col min="11284" max="11520" width="9.140625" style="6"/>
    <col min="11521" max="11521" width="16.85546875" style="6" customWidth="1"/>
    <col min="11522" max="11522" width="17.140625" style="6" customWidth="1"/>
    <col min="11523" max="11523" width="19.7109375" style="6" customWidth="1"/>
    <col min="11524" max="11524" width="68.85546875" style="6" customWidth="1"/>
    <col min="11525" max="11525" width="19.140625" style="6" customWidth="1"/>
    <col min="11526" max="11526" width="21.140625" style="6" customWidth="1"/>
    <col min="11527" max="11527" width="18.7109375" style="6" customWidth="1"/>
    <col min="11528" max="11528" width="18" style="6" customWidth="1"/>
    <col min="11529" max="11529" width="16.85546875" style="6" customWidth="1"/>
    <col min="11530" max="11530" width="19.5703125" style="6" customWidth="1"/>
    <col min="11531" max="11531" width="19.140625" style="6" customWidth="1"/>
    <col min="11532" max="11532" width="16.7109375" style="6" customWidth="1"/>
    <col min="11533" max="11533" width="15" style="6" customWidth="1"/>
    <col min="11534" max="11534" width="15.7109375" style="6" customWidth="1"/>
    <col min="11535" max="11535" width="17.7109375" style="6" customWidth="1"/>
    <col min="11536" max="11536" width="18.5703125" style="6" customWidth="1"/>
    <col min="11537" max="11537" width="17.7109375" style="6" bestFit="1" customWidth="1"/>
    <col min="11538" max="11538" width="22.140625" style="6" customWidth="1"/>
    <col min="11539" max="11539" width="17.42578125" style="6" bestFit="1" customWidth="1"/>
    <col min="11540" max="11776" width="9.140625" style="6"/>
    <col min="11777" max="11777" width="16.85546875" style="6" customWidth="1"/>
    <col min="11778" max="11778" width="17.140625" style="6" customWidth="1"/>
    <col min="11779" max="11779" width="19.7109375" style="6" customWidth="1"/>
    <col min="11780" max="11780" width="68.85546875" style="6" customWidth="1"/>
    <col min="11781" max="11781" width="19.140625" style="6" customWidth="1"/>
    <col min="11782" max="11782" width="21.140625" style="6" customWidth="1"/>
    <col min="11783" max="11783" width="18.7109375" style="6" customWidth="1"/>
    <col min="11784" max="11784" width="18" style="6" customWidth="1"/>
    <col min="11785" max="11785" width="16.85546875" style="6" customWidth="1"/>
    <col min="11786" max="11786" width="19.5703125" style="6" customWidth="1"/>
    <col min="11787" max="11787" width="19.140625" style="6" customWidth="1"/>
    <col min="11788" max="11788" width="16.7109375" style="6" customWidth="1"/>
    <col min="11789" max="11789" width="15" style="6" customWidth="1"/>
    <col min="11790" max="11790" width="15.7109375" style="6" customWidth="1"/>
    <col min="11791" max="11791" width="17.7109375" style="6" customWidth="1"/>
    <col min="11792" max="11792" width="18.5703125" style="6" customWidth="1"/>
    <col min="11793" max="11793" width="17.7109375" style="6" bestFit="1" customWidth="1"/>
    <col min="11794" max="11794" width="22.140625" style="6" customWidth="1"/>
    <col min="11795" max="11795" width="17.42578125" style="6" bestFit="1" customWidth="1"/>
    <col min="11796" max="12032" width="9.140625" style="6"/>
    <col min="12033" max="12033" width="16.85546875" style="6" customWidth="1"/>
    <col min="12034" max="12034" width="17.140625" style="6" customWidth="1"/>
    <col min="12035" max="12035" width="19.7109375" style="6" customWidth="1"/>
    <col min="12036" max="12036" width="68.85546875" style="6" customWidth="1"/>
    <col min="12037" max="12037" width="19.140625" style="6" customWidth="1"/>
    <col min="12038" max="12038" width="21.140625" style="6" customWidth="1"/>
    <col min="12039" max="12039" width="18.7109375" style="6" customWidth="1"/>
    <col min="12040" max="12040" width="18" style="6" customWidth="1"/>
    <col min="12041" max="12041" width="16.85546875" style="6" customWidth="1"/>
    <col min="12042" max="12042" width="19.5703125" style="6" customWidth="1"/>
    <col min="12043" max="12043" width="19.140625" style="6" customWidth="1"/>
    <col min="12044" max="12044" width="16.7109375" style="6" customWidth="1"/>
    <col min="12045" max="12045" width="15" style="6" customWidth="1"/>
    <col min="12046" max="12046" width="15.7109375" style="6" customWidth="1"/>
    <col min="12047" max="12047" width="17.7109375" style="6" customWidth="1"/>
    <col min="12048" max="12048" width="18.5703125" style="6" customWidth="1"/>
    <col min="12049" max="12049" width="17.7109375" style="6" bestFit="1" customWidth="1"/>
    <col min="12050" max="12050" width="22.140625" style="6" customWidth="1"/>
    <col min="12051" max="12051" width="17.42578125" style="6" bestFit="1" customWidth="1"/>
    <col min="12052" max="12288" width="9.140625" style="6"/>
    <col min="12289" max="12289" width="16.85546875" style="6" customWidth="1"/>
    <col min="12290" max="12290" width="17.140625" style="6" customWidth="1"/>
    <col min="12291" max="12291" width="19.7109375" style="6" customWidth="1"/>
    <col min="12292" max="12292" width="68.85546875" style="6" customWidth="1"/>
    <col min="12293" max="12293" width="19.140625" style="6" customWidth="1"/>
    <col min="12294" max="12294" width="21.140625" style="6" customWidth="1"/>
    <col min="12295" max="12295" width="18.7109375" style="6" customWidth="1"/>
    <col min="12296" max="12296" width="18" style="6" customWidth="1"/>
    <col min="12297" max="12297" width="16.85546875" style="6" customWidth="1"/>
    <col min="12298" max="12298" width="19.5703125" style="6" customWidth="1"/>
    <col min="12299" max="12299" width="19.140625" style="6" customWidth="1"/>
    <col min="12300" max="12300" width="16.7109375" style="6" customWidth="1"/>
    <col min="12301" max="12301" width="15" style="6" customWidth="1"/>
    <col min="12302" max="12302" width="15.7109375" style="6" customWidth="1"/>
    <col min="12303" max="12303" width="17.7109375" style="6" customWidth="1"/>
    <col min="12304" max="12304" width="18.5703125" style="6" customWidth="1"/>
    <col min="12305" max="12305" width="17.7109375" style="6" bestFit="1" customWidth="1"/>
    <col min="12306" max="12306" width="22.140625" style="6" customWidth="1"/>
    <col min="12307" max="12307" width="17.42578125" style="6" bestFit="1" customWidth="1"/>
    <col min="12308" max="12544" width="9.140625" style="6"/>
    <col min="12545" max="12545" width="16.85546875" style="6" customWidth="1"/>
    <col min="12546" max="12546" width="17.140625" style="6" customWidth="1"/>
    <col min="12547" max="12547" width="19.7109375" style="6" customWidth="1"/>
    <col min="12548" max="12548" width="68.85546875" style="6" customWidth="1"/>
    <col min="12549" max="12549" width="19.140625" style="6" customWidth="1"/>
    <col min="12550" max="12550" width="21.140625" style="6" customWidth="1"/>
    <col min="12551" max="12551" width="18.7109375" style="6" customWidth="1"/>
    <col min="12552" max="12552" width="18" style="6" customWidth="1"/>
    <col min="12553" max="12553" width="16.85546875" style="6" customWidth="1"/>
    <col min="12554" max="12554" width="19.5703125" style="6" customWidth="1"/>
    <col min="12555" max="12555" width="19.140625" style="6" customWidth="1"/>
    <col min="12556" max="12556" width="16.7109375" style="6" customWidth="1"/>
    <col min="12557" max="12557" width="15" style="6" customWidth="1"/>
    <col min="12558" max="12558" width="15.7109375" style="6" customWidth="1"/>
    <col min="12559" max="12559" width="17.7109375" style="6" customWidth="1"/>
    <col min="12560" max="12560" width="18.5703125" style="6" customWidth="1"/>
    <col min="12561" max="12561" width="17.7109375" style="6" bestFit="1" customWidth="1"/>
    <col min="12562" max="12562" width="22.140625" style="6" customWidth="1"/>
    <col min="12563" max="12563" width="17.42578125" style="6" bestFit="1" customWidth="1"/>
    <col min="12564" max="12800" width="9.140625" style="6"/>
    <col min="12801" max="12801" width="16.85546875" style="6" customWidth="1"/>
    <col min="12802" max="12802" width="17.140625" style="6" customWidth="1"/>
    <col min="12803" max="12803" width="19.7109375" style="6" customWidth="1"/>
    <col min="12804" max="12804" width="68.85546875" style="6" customWidth="1"/>
    <col min="12805" max="12805" width="19.140625" style="6" customWidth="1"/>
    <col min="12806" max="12806" width="21.140625" style="6" customWidth="1"/>
    <col min="12807" max="12807" width="18.7109375" style="6" customWidth="1"/>
    <col min="12808" max="12808" width="18" style="6" customWidth="1"/>
    <col min="12809" max="12809" width="16.85546875" style="6" customWidth="1"/>
    <col min="12810" max="12810" width="19.5703125" style="6" customWidth="1"/>
    <col min="12811" max="12811" width="19.140625" style="6" customWidth="1"/>
    <col min="12812" max="12812" width="16.7109375" style="6" customWidth="1"/>
    <col min="12813" max="12813" width="15" style="6" customWidth="1"/>
    <col min="12814" max="12814" width="15.7109375" style="6" customWidth="1"/>
    <col min="12815" max="12815" width="17.7109375" style="6" customWidth="1"/>
    <col min="12816" max="12816" width="18.5703125" style="6" customWidth="1"/>
    <col min="12817" max="12817" width="17.7109375" style="6" bestFit="1" customWidth="1"/>
    <col min="12818" max="12818" width="22.140625" style="6" customWidth="1"/>
    <col min="12819" max="12819" width="17.42578125" style="6" bestFit="1" customWidth="1"/>
    <col min="12820" max="13056" width="9.140625" style="6"/>
    <col min="13057" max="13057" width="16.85546875" style="6" customWidth="1"/>
    <col min="13058" max="13058" width="17.140625" style="6" customWidth="1"/>
    <col min="13059" max="13059" width="19.7109375" style="6" customWidth="1"/>
    <col min="13060" max="13060" width="68.85546875" style="6" customWidth="1"/>
    <col min="13061" max="13061" width="19.140625" style="6" customWidth="1"/>
    <col min="13062" max="13062" width="21.140625" style="6" customWidth="1"/>
    <col min="13063" max="13063" width="18.7109375" style="6" customWidth="1"/>
    <col min="13064" max="13064" width="18" style="6" customWidth="1"/>
    <col min="13065" max="13065" width="16.85546875" style="6" customWidth="1"/>
    <col min="13066" max="13066" width="19.5703125" style="6" customWidth="1"/>
    <col min="13067" max="13067" width="19.140625" style="6" customWidth="1"/>
    <col min="13068" max="13068" width="16.7109375" style="6" customWidth="1"/>
    <col min="13069" max="13069" width="15" style="6" customWidth="1"/>
    <col min="13070" max="13070" width="15.7109375" style="6" customWidth="1"/>
    <col min="13071" max="13071" width="17.7109375" style="6" customWidth="1"/>
    <col min="13072" max="13072" width="18.5703125" style="6" customWidth="1"/>
    <col min="13073" max="13073" width="17.7109375" style="6" bestFit="1" customWidth="1"/>
    <col min="13074" max="13074" width="22.140625" style="6" customWidth="1"/>
    <col min="13075" max="13075" width="17.42578125" style="6" bestFit="1" customWidth="1"/>
    <col min="13076" max="13312" width="9.140625" style="6"/>
    <col min="13313" max="13313" width="16.85546875" style="6" customWidth="1"/>
    <col min="13314" max="13314" width="17.140625" style="6" customWidth="1"/>
    <col min="13315" max="13315" width="19.7109375" style="6" customWidth="1"/>
    <col min="13316" max="13316" width="68.85546875" style="6" customWidth="1"/>
    <col min="13317" max="13317" width="19.140625" style="6" customWidth="1"/>
    <col min="13318" max="13318" width="21.140625" style="6" customWidth="1"/>
    <col min="13319" max="13319" width="18.7109375" style="6" customWidth="1"/>
    <col min="13320" max="13320" width="18" style="6" customWidth="1"/>
    <col min="13321" max="13321" width="16.85546875" style="6" customWidth="1"/>
    <col min="13322" max="13322" width="19.5703125" style="6" customWidth="1"/>
    <col min="13323" max="13323" width="19.140625" style="6" customWidth="1"/>
    <col min="13324" max="13324" width="16.7109375" style="6" customWidth="1"/>
    <col min="13325" max="13325" width="15" style="6" customWidth="1"/>
    <col min="13326" max="13326" width="15.7109375" style="6" customWidth="1"/>
    <col min="13327" max="13327" width="17.7109375" style="6" customWidth="1"/>
    <col min="13328" max="13328" width="18.5703125" style="6" customWidth="1"/>
    <col min="13329" max="13329" width="17.7109375" style="6" bestFit="1" customWidth="1"/>
    <col min="13330" max="13330" width="22.140625" style="6" customWidth="1"/>
    <col min="13331" max="13331" width="17.42578125" style="6" bestFit="1" customWidth="1"/>
    <col min="13332" max="13568" width="9.140625" style="6"/>
    <col min="13569" max="13569" width="16.85546875" style="6" customWidth="1"/>
    <col min="13570" max="13570" width="17.140625" style="6" customWidth="1"/>
    <col min="13571" max="13571" width="19.7109375" style="6" customWidth="1"/>
    <col min="13572" max="13572" width="68.85546875" style="6" customWidth="1"/>
    <col min="13573" max="13573" width="19.140625" style="6" customWidth="1"/>
    <col min="13574" max="13574" width="21.140625" style="6" customWidth="1"/>
    <col min="13575" max="13575" width="18.7109375" style="6" customWidth="1"/>
    <col min="13576" max="13576" width="18" style="6" customWidth="1"/>
    <col min="13577" max="13577" width="16.85546875" style="6" customWidth="1"/>
    <col min="13578" max="13578" width="19.5703125" style="6" customWidth="1"/>
    <col min="13579" max="13579" width="19.140625" style="6" customWidth="1"/>
    <col min="13580" max="13580" width="16.7109375" style="6" customWidth="1"/>
    <col min="13581" max="13581" width="15" style="6" customWidth="1"/>
    <col min="13582" max="13582" width="15.7109375" style="6" customWidth="1"/>
    <col min="13583" max="13583" width="17.7109375" style="6" customWidth="1"/>
    <col min="13584" max="13584" width="18.5703125" style="6" customWidth="1"/>
    <col min="13585" max="13585" width="17.7109375" style="6" bestFit="1" customWidth="1"/>
    <col min="13586" max="13586" width="22.140625" style="6" customWidth="1"/>
    <col min="13587" max="13587" width="17.42578125" style="6" bestFit="1" customWidth="1"/>
    <col min="13588" max="13824" width="9.140625" style="6"/>
    <col min="13825" max="13825" width="16.85546875" style="6" customWidth="1"/>
    <col min="13826" max="13826" width="17.140625" style="6" customWidth="1"/>
    <col min="13827" max="13827" width="19.7109375" style="6" customWidth="1"/>
    <col min="13828" max="13828" width="68.85546875" style="6" customWidth="1"/>
    <col min="13829" max="13829" width="19.140625" style="6" customWidth="1"/>
    <col min="13830" max="13830" width="21.140625" style="6" customWidth="1"/>
    <col min="13831" max="13831" width="18.7109375" style="6" customWidth="1"/>
    <col min="13832" max="13832" width="18" style="6" customWidth="1"/>
    <col min="13833" max="13833" width="16.85546875" style="6" customWidth="1"/>
    <col min="13834" max="13834" width="19.5703125" style="6" customWidth="1"/>
    <col min="13835" max="13835" width="19.140625" style="6" customWidth="1"/>
    <col min="13836" max="13836" width="16.7109375" style="6" customWidth="1"/>
    <col min="13837" max="13837" width="15" style="6" customWidth="1"/>
    <col min="13838" max="13838" width="15.7109375" style="6" customWidth="1"/>
    <col min="13839" max="13839" width="17.7109375" style="6" customWidth="1"/>
    <col min="13840" max="13840" width="18.5703125" style="6" customWidth="1"/>
    <col min="13841" max="13841" width="17.7109375" style="6" bestFit="1" customWidth="1"/>
    <col min="13842" max="13842" width="22.140625" style="6" customWidth="1"/>
    <col min="13843" max="13843" width="17.42578125" style="6" bestFit="1" customWidth="1"/>
    <col min="13844" max="14080" width="9.140625" style="6"/>
    <col min="14081" max="14081" width="16.85546875" style="6" customWidth="1"/>
    <col min="14082" max="14082" width="17.140625" style="6" customWidth="1"/>
    <col min="14083" max="14083" width="19.7109375" style="6" customWidth="1"/>
    <col min="14084" max="14084" width="68.85546875" style="6" customWidth="1"/>
    <col min="14085" max="14085" width="19.140625" style="6" customWidth="1"/>
    <col min="14086" max="14086" width="21.140625" style="6" customWidth="1"/>
    <col min="14087" max="14087" width="18.7109375" style="6" customWidth="1"/>
    <col min="14088" max="14088" width="18" style="6" customWidth="1"/>
    <col min="14089" max="14089" width="16.85546875" style="6" customWidth="1"/>
    <col min="14090" max="14090" width="19.5703125" style="6" customWidth="1"/>
    <col min="14091" max="14091" width="19.140625" style="6" customWidth="1"/>
    <col min="14092" max="14092" width="16.7109375" style="6" customWidth="1"/>
    <col min="14093" max="14093" width="15" style="6" customWidth="1"/>
    <col min="14094" max="14094" width="15.7109375" style="6" customWidth="1"/>
    <col min="14095" max="14095" width="17.7109375" style="6" customWidth="1"/>
    <col min="14096" max="14096" width="18.5703125" style="6" customWidth="1"/>
    <col min="14097" max="14097" width="17.7109375" style="6" bestFit="1" customWidth="1"/>
    <col min="14098" max="14098" width="22.140625" style="6" customWidth="1"/>
    <col min="14099" max="14099" width="17.42578125" style="6" bestFit="1" customWidth="1"/>
    <col min="14100" max="14336" width="9.140625" style="6"/>
    <col min="14337" max="14337" width="16.85546875" style="6" customWidth="1"/>
    <col min="14338" max="14338" width="17.140625" style="6" customWidth="1"/>
    <col min="14339" max="14339" width="19.7109375" style="6" customWidth="1"/>
    <col min="14340" max="14340" width="68.85546875" style="6" customWidth="1"/>
    <col min="14341" max="14341" width="19.140625" style="6" customWidth="1"/>
    <col min="14342" max="14342" width="21.140625" style="6" customWidth="1"/>
    <col min="14343" max="14343" width="18.7109375" style="6" customWidth="1"/>
    <col min="14344" max="14344" width="18" style="6" customWidth="1"/>
    <col min="14345" max="14345" width="16.85546875" style="6" customWidth="1"/>
    <col min="14346" max="14346" width="19.5703125" style="6" customWidth="1"/>
    <col min="14347" max="14347" width="19.140625" style="6" customWidth="1"/>
    <col min="14348" max="14348" width="16.7109375" style="6" customWidth="1"/>
    <col min="14349" max="14349" width="15" style="6" customWidth="1"/>
    <col min="14350" max="14350" width="15.7109375" style="6" customWidth="1"/>
    <col min="14351" max="14351" width="17.7109375" style="6" customWidth="1"/>
    <col min="14352" max="14352" width="18.5703125" style="6" customWidth="1"/>
    <col min="14353" max="14353" width="17.7109375" style="6" bestFit="1" customWidth="1"/>
    <col min="14354" max="14354" width="22.140625" style="6" customWidth="1"/>
    <col min="14355" max="14355" width="17.42578125" style="6" bestFit="1" customWidth="1"/>
    <col min="14356" max="14592" width="9.140625" style="6"/>
    <col min="14593" max="14593" width="16.85546875" style="6" customWidth="1"/>
    <col min="14594" max="14594" width="17.140625" style="6" customWidth="1"/>
    <col min="14595" max="14595" width="19.7109375" style="6" customWidth="1"/>
    <col min="14596" max="14596" width="68.85546875" style="6" customWidth="1"/>
    <col min="14597" max="14597" width="19.140625" style="6" customWidth="1"/>
    <col min="14598" max="14598" width="21.140625" style="6" customWidth="1"/>
    <col min="14599" max="14599" width="18.7109375" style="6" customWidth="1"/>
    <col min="14600" max="14600" width="18" style="6" customWidth="1"/>
    <col min="14601" max="14601" width="16.85546875" style="6" customWidth="1"/>
    <col min="14602" max="14602" width="19.5703125" style="6" customWidth="1"/>
    <col min="14603" max="14603" width="19.140625" style="6" customWidth="1"/>
    <col min="14604" max="14604" width="16.7109375" style="6" customWidth="1"/>
    <col min="14605" max="14605" width="15" style="6" customWidth="1"/>
    <col min="14606" max="14606" width="15.7109375" style="6" customWidth="1"/>
    <col min="14607" max="14607" width="17.7109375" style="6" customWidth="1"/>
    <col min="14608" max="14608" width="18.5703125" style="6" customWidth="1"/>
    <col min="14609" max="14609" width="17.7109375" style="6" bestFit="1" customWidth="1"/>
    <col min="14610" max="14610" width="22.140625" style="6" customWidth="1"/>
    <col min="14611" max="14611" width="17.42578125" style="6" bestFit="1" customWidth="1"/>
    <col min="14612" max="14848" width="9.140625" style="6"/>
    <col min="14849" max="14849" width="16.85546875" style="6" customWidth="1"/>
    <col min="14850" max="14850" width="17.140625" style="6" customWidth="1"/>
    <col min="14851" max="14851" width="19.7109375" style="6" customWidth="1"/>
    <col min="14852" max="14852" width="68.85546875" style="6" customWidth="1"/>
    <col min="14853" max="14853" width="19.140625" style="6" customWidth="1"/>
    <col min="14854" max="14854" width="21.140625" style="6" customWidth="1"/>
    <col min="14855" max="14855" width="18.7109375" style="6" customWidth="1"/>
    <col min="14856" max="14856" width="18" style="6" customWidth="1"/>
    <col min="14857" max="14857" width="16.85546875" style="6" customWidth="1"/>
    <col min="14858" max="14858" width="19.5703125" style="6" customWidth="1"/>
    <col min="14859" max="14859" width="19.140625" style="6" customWidth="1"/>
    <col min="14860" max="14860" width="16.7109375" style="6" customWidth="1"/>
    <col min="14861" max="14861" width="15" style="6" customWidth="1"/>
    <col min="14862" max="14862" width="15.7109375" style="6" customWidth="1"/>
    <col min="14863" max="14863" width="17.7109375" style="6" customWidth="1"/>
    <col min="14864" max="14864" width="18.5703125" style="6" customWidth="1"/>
    <col min="14865" max="14865" width="17.7109375" style="6" bestFit="1" customWidth="1"/>
    <col min="14866" max="14866" width="22.140625" style="6" customWidth="1"/>
    <col min="14867" max="14867" width="17.42578125" style="6" bestFit="1" customWidth="1"/>
    <col min="14868" max="15104" width="9.140625" style="6"/>
    <col min="15105" max="15105" width="16.85546875" style="6" customWidth="1"/>
    <col min="15106" max="15106" width="17.140625" style="6" customWidth="1"/>
    <col min="15107" max="15107" width="19.7109375" style="6" customWidth="1"/>
    <col min="15108" max="15108" width="68.85546875" style="6" customWidth="1"/>
    <col min="15109" max="15109" width="19.140625" style="6" customWidth="1"/>
    <col min="15110" max="15110" width="21.140625" style="6" customWidth="1"/>
    <col min="15111" max="15111" width="18.7109375" style="6" customWidth="1"/>
    <col min="15112" max="15112" width="18" style="6" customWidth="1"/>
    <col min="15113" max="15113" width="16.85546875" style="6" customWidth="1"/>
    <col min="15114" max="15114" width="19.5703125" style="6" customWidth="1"/>
    <col min="15115" max="15115" width="19.140625" style="6" customWidth="1"/>
    <col min="15116" max="15116" width="16.7109375" style="6" customWidth="1"/>
    <col min="15117" max="15117" width="15" style="6" customWidth="1"/>
    <col min="15118" max="15118" width="15.7109375" style="6" customWidth="1"/>
    <col min="15119" max="15119" width="17.7109375" style="6" customWidth="1"/>
    <col min="15120" max="15120" width="18.5703125" style="6" customWidth="1"/>
    <col min="15121" max="15121" width="17.7109375" style="6" bestFit="1" customWidth="1"/>
    <col min="15122" max="15122" width="22.140625" style="6" customWidth="1"/>
    <col min="15123" max="15123" width="17.42578125" style="6" bestFit="1" customWidth="1"/>
    <col min="15124" max="15360" width="9.140625" style="6"/>
    <col min="15361" max="15361" width="16.85546875" style="6" customWidth="1"/>
    <col min="15362" max="15362" width="17.140625" style="6" customWidth="1"/>
    <col min="15363" max="15363" width="19.7109375" style="6" customWidth="1"/>
    <col min="15364" max="15364" width="68.85546875" style="6" customWidth="1"/>
    <col min="15365" max="15365" width="19.140625" style="6" customWidth="1"/>
    <col min="15366" max="15366" width="21.140625" style="6" customWidth="1"/>
    <col min="15367" max="15367" width="18.7109375" style="6" customWidth="1"/>
    <col min="15368" max="15368" width="18" style="6" customWidth="1"/>
    <col min="15369" max="15369" width="16.85546875" style="6" customWidth="1"/>
    <col min="15370" max="15370" width="19.5703125" style="6" customWidth="1"/>
    <col min="15371" max="15371" width="19.140625" style="6" customWidth="1"/>
    <col min="15372" max="15372" width="16.7109375" style="6" customWidth="1"/>
    <col min="15373" max="15373" width="15" style="6" customWidth="1"/>
    <col min="15374" max="15374" width="15.7109375" style="6" customWidth="1"/>
    <col min="15375" max="15375" width="17.7109375" style="6" customWidth="1"/>
    <col min="15376" max="15376" width="18.5703125" style="6" customWidth="1"/>
    <col min="15377" max="15377" width="17.7109375" style="6" bestFit="1" customWidth="1"/>
    <col min="15378" max="15378" width="22.140625" style="6" customWidth="1"/>
    <col min="15379" max="15379" width="17.42578125" style="6" bestFit="1" customWidth="1"/>
    <col min="15380" max="15616" width="9.140625" style="6"/>
    <col min="15617" max="15617" width="16.85546875" style="6" customWidth="1"/>
    <col min="15618" max="15618" width="17.140625" style="6" customWidth="1"/>
    <col min="15619" max="15619" width="19.7109375" style="6" customWidth="1"/>
    <col min="15620" max="15620" width="68.85546875" style="6" customWidth="1"/>
    <col min="15621" max="15621" width="19.140625" style="6" customWidth="1"/>
    <col min="15622" max="15622" width="21.140625" style="6" customWidth="1"/>
    <col min="15623" max="15623" width="18.7109375" style="6" customWidth="1"/>
    <col min="15624" max="15624" width="18" style="6" customWidth="1"/>
    <col min="15625" max="15625" width="16.85546875" style="6" customWidth="1"/>
    <col min="15626" max="15626" width="19.5703125" style="6" customWidth="1"/>
    <col min="15627" max="15627" width="19.140625" style="6" customWidth="1"/>
    <col min="15628" max="15628" width="16.7109375" style="6" customWidth="1"/>
    <col min="15629" max="15629" width="15" style="6" customWidth="1"/>
    <col min="15630" max="15630" width="15.7109375" style="6" customWidth="1"/>
    <col min="15631" max="15631" width="17.7109375" style="6" customWidth="1"/>
    <col min="15632" max="15632" width="18.5703125" style="6" customWidth="1"/>
    <col min="15633" max="15633" width="17.7109375" style="6" bestFit="1" customWidth="1"/>
    <col min="15634" max="15634" width="22.140625" style="6" customWidth="1"/>
    <col min="15635" max="15635" width="17.42578125" style="6" bestFit="1" customWidth="1"/>
    <col min="15636" max="15872" width="9.140625" style="6"/>
    <col min="15873" max="15873" width="16.85546875" style="6" customWidth="1"/>
    <col min="15874" max="15874" width="17.140625" style="6" customWidth="1"/>
    <col min="15875" max="15875" width="19.7109375" style="6" customWidth="1"/>
    <col min="15876" max="15876" width="68.85546875" style="6" customWidth="1"/>
    <col min="15877" max="15877" width="19.140625" style="6" customWidth="1"/>
    <col min="15878" max="15878" width="21.140625" style="6" customWidth="1"/>
    <col min="15879" max="15879" width="18.7109375" style="6" customWidth="1"/>
    <col min="15880" max="15880" width="18" style="6" customWidth="1"/>
    <col min="15881" max="15881" width="16.85546875" style="6" customWidth="1"/>
    <col min="15882" max="15882" width="19.5703125" style="6" customWidth="1"/>
    <col min="15883" max="15883" width="19.140625" style="6" customWidth="1"/>
    <col min="15884" max="15884" width="16.7109375" style="6" customWidth="1"/>
    <col min="15885" max="15885" width="15" style="6" customWidth="1"/>
    <col min="15886" max="15886" width="15.7109375" style="6" customWidth="1"/>
    <col min="15887" max="15887" width="17.7109375" style="6" customWidth="1"/>
    <col min="15888" max="15888" width="18.5703125" style="6" customWidth="1"/>
    <col min="15889" max="15889" width="17.7109375" style="6" bestFit="1" customWidth="1"/>
    <col min="15890" max="15890" width="22.140625" style="6" customWidth="1"/>
    <col min="15891" max="15891" width="17.42578125" style="6" bestFit="1" customWidth="1"/>
    <col min="15892" max="16128" width="9.140625" style="6"/>
    <col min="16129" max="16129" width="16.85546875" style="6" customWidth="1"/>
    <col min="16130" max="16130" width="17.140625" style="6" customWidth="1"/>
    <col min="16131" max="16131" width="19.7109375" style="6" customWidth="1"/>
    <col min="16132" max="16132" width="68.85546875" style="6" customWidth="1"/>
    <col min="16133" max="16133" width="19.140625" style="6" customWidth="1"/>
    <col min="16134" max="16134" width="21.140625" style="6" customWidth="1"/>
    <col min="16135" max="16135" width="18.7109375" style="6" customWidth="1"/>
    <col min="16136" max="16136" width="18" style="6" customWidth="1"/>
    <col min="16137" max="16137" width="16.85546875" style="6" customWidth="1"/>
    <col min="16138" max="16138" width="19.5703125" style="6" customWidth="1"/>
    <col min="16139" max="16139" width="19.140625" style="6" customWidth="1"/>
    <col min="16140" max="16140" width="16.7109375" style="6" customWidth="1"/>
    <col min="16141" max="16141" width="15" style="6" customWidth="1"/>
    <col min="16142" max="16142" width="15.7109375" style="6" customWidth="1"/>
    <col min="16143" max="16143" width="17.7109375" style="6" customWidth="1"/>
    <col min="16144" max="16144" width="18.5703125" style="6" customWidth="1"/>
    <col min="16145" max="16145" width="17.7109375" style="6" bestFit="1" customWidth="1"/>
    <col min="16146" max="16146" width="22.140625" style="6" customWidth="1"/>
    <col min="16147" max="16147" width="17.42578125" style="6" bestFit="1" customWidth="1"/>
    <col min="16148" max="16384" width="9.140625" style="6"/>
  </cols>
  <sheetData>
    <row r="1" spans="1:19" ht="84" customHeight="1" x14ac:dyDescent="0.25">
      <c r="K1" s="611" t="s">
        <v>724</v>
      </c>
      <c r="L1" s="611"/>
      <c r="M1" s="611"/>
      <c r="N1" s="611"/>
      <c r="O1" s="611"/>
      <c r="P1" s="611"/>
    </row>
    <row r="2" spans="1:19" ht="19.5" customHeight="1" x14ac:dyDescent="0.25">
      <c r="L2" s="611" t="s">
        <v>674</v>
      </c>
      <c r="M2" s="611"/>
      <c r="N2" s="611"/>
      <c r="O2" s="611"/>
      <c r="P2" s="611"/>
    </row>
    <row r="3" spans="1:19" ht="21.75" customHeight="1" x14ac:dyDescent="0.25">
      <c r="A3" s="612" t="s">
        <v>690</v>
      </c>
      <c r="B3" s="612"/>
      <c r="C3" s="612"/>
      <c r="D3" s="612"/>
      <c r="E3" s="612"/>
      <c r="F3" s="612"/>
      <c r="G3" s="612"/>
      <c r="H3" s="612"/>
      <c r="I3" s="612"/>
      <c r="J3" s="612"/>
      <c r="K3" s="612"/>
      <c r="L3" s="612"/>
      <c r="M3" s="612"/>
      <c r="N3" s="612"/>
      <c r="O3" s="612"/>
      <c r="P3" s="612"/>
    </row>
    <row r="4" spans="1:19" ht="39" customHeight="1" x14ac:dyDescent="0.25">
      <c r="A4" s="613" t="s">
        <v>691</v>
      </c>
      <c r="B4" s="613"/>
      <c r="C4" s="613"/>
      <c r="D4" s="613"/>
      <c r="E4" s="613"/>
      <c r="F4" s="613"/>
      <c r="G4" s="613"/>
      <c r="H4" s="613"/>
      <c r="I4" s="613"/>
      <c r="J4" s="613"/>
      <c r="K4" s="613"/>
      <c r="L4" s="613"/>
      <c r="M4" s="613"/>
      <c r="N4" s="613"/>
      <c r="O4" s="613"/>
      <c r="P4" s="613"/>
    </row>
    <row r="5" spans="1:19" ht="24" customHeight="1" x14ac:dyDescent="0.25">
      <c r="A5" s="412"/>
      <c r="B5" s="412"/>
      <c r="C5" s="412"/>
      <c r="D5" s="614" t="s">
        <v>3</v>
      </c>
      <c r="E5" s="614"/>
      <c r="F5" s="412"/>
      <c r="G5" s="412"/>
      <c r="H5" s="412"/>
      <c r="I5" s="412"/>
      <c r="J5" s="412"/>
      <c r="K5" s="412"/>
      <c r="L5" s="412"/>
      <c r="M5" s="412"/>
      <c r="N5" s="412"/>
      <c r="O5" s="412"/>
      <c r="P5" s="412"/>
    </row>
    <row r="6" spans="1:19" x14ac:dyDescent="0.25">
      <c r="D6" s="123" t="s">
        <v>4</v>
      </c>
      <c r="P6" s="126" t="s">
        <v>129</v>
      </c>
    </row>
    <row r="7" spans="1:19" ht="36" customHeight="1" x14ac:dyDescent="0.25">
      <c r="A7" s="610" t="s">
        <v>130</v>
      </c>
      <c r="B7" s="610" t="s">
        <v>131</v>
      </c>
      <c r="C7" s="598" t="s">
        <v>132</v>
      </c>
      <c r="D7" s="599" t="s">
        <v>133</v>
      </c>
      <c r="E7" s="610" t="s">
        <v>134</v>
      </c>
      <c r="F7" s="610"/>
      <c r="G7" s="610"/>
      <c r="H7" s="610"/>
      <c r="I7" s="610"/>
      <c r="J7" s="610" t="s">
        <v>10</v>
      </c>
      <c r="K7" s="610"/>
      <c r="L7" s="610"/>
      <c r="M7" s="610"/>
      <c r="N7" s="610"/>
      <c r="O7" s="610"/>
      <c r="P7" s="610" t="s">
        <v>135</v>
      </c>
    </row>
    <row r="8" spans="1:19" ht="18.75" customHeight="1" x14ac:dyDescent="0.25">
      <c r="A8" s="610"/>
      <c r="B8" s="610"/>
      <c r="C8" s="598"/>
      <c r="D8" s="600"/>
      <c r="E8" s="610" t="s">
        <v>11</v>
      </c>
      <c r="F8" s="615" t="s">
        <v>136</v>
      </c>
      <c r="G8" s="610" t="s">
        <v>137</v>
      </c>
      <c r="H8" s="610"/>
      <c r="I8" s="615" t="s">
        <v>138</v>
      </c>
      <c r="J8" s="610" t="s">
        <v>11</v>
      </c>
      <c r="K8" s="599" t="s">
        <v>12</v>
      </c>
      <c r="L8" s="615" t="s">
        <v>136</v>
      </c>
      <c r="M8" s="610" t="s">
        <v>137</v>
      </c>
      <c r="N8" s="610"/>
      <c r="O8" s="615" t="s">
        <v>138</v>
      </c>
      <c r="P8" s="610"/>
    </row>
    <row r="9" spans="1:19" ht="13.5" customHeight="1" x14ac:dyDescent="0.25">
      <c r="A9" s="610"/>
      <c r="B9" s="610"/>
      <c r="C9" s="598"/>
      <c r="D9" s="600"/>
      <c r="E9" s="610"/>
      <c r="F9" s="615"/>
      <c r="G9" s="610" t="s">
        <v>139</v>
      </c>
      <c r="H9" s="610" t="s">
        <v>140</v>
      </c>
      <c r="I9" s="615"/>
      <c r="J9" s="610"/>
      <c r="K9" s="600"/>
      <c r="L9" s="615"/>
      <c r="M9" s="610" t="s">
        <v>139</v>
      </c>
      <c r="N9" s="610" t="s">
        <v>140</v>
      </c>
      <c r="O9" s="615"/>
      <c r="P9" s="610"/>
    </row>
    <row r="10" spans="1:19" ht="87.75" customHeight="1" x14ac:dyDescent="0.25">
      <c r="A10" s="610"/>
      <c r="B10" s="610"/>
      <c r="C10" s="598"/>
      <c r="D10" s="601"/>
      <c r="E10" s="610"/>
      <c r="F10" s="615"/>
      <c r="G10" s="610"/>
      <c r="H10" s="610"/>
      <c r="I10" s="615"/>
      <c r="J10" s="610"/>
      <c r="K10" s="601"/>
      <c r="L10" s="615"/>
      <c r="M10" s="610"/>
      <c r="N10" s="610"/>
      <c r="O10" s="615"/>
      <c r="P10" s="610"/>
    </row>
    <row r="11" spans="1:19" s="128" customFormat="1" ht="12.75" customHeight="1" x14ac:dyDescent="0.25">
      <c r="A11" s="127">
        <v>1</v>
      </c>
      <c r="B11" s="127">
        <f>A11+1</f>
        <v>2</v>
      </c>
      <c r="C11" s="127">
        <f t="shared" ref="C11:J11" si="0">B11+1</f>
        <v>3</v>
      </c>
      <c r="D11" s="127">
        <f t="shared" si="0"/>
        <v>4</v>
      </c>
      <c r="E11" s="127">
        <f t="shared" si="0"/>
        <v>5</v>
      </c>
      <c r="F11" s="127">
        <f t="shared" si="0"/>
        <v>6</v>
      </c>
      <c r="G11" s="127">
        <f t="shared" si="0"/>
        <v>7</v>
      </c>
      <c r="H11" s="127">
        <f t="shared" si="0"/>
        <v>8</v>
      </c>
      <c r="I11" s="127">
        <f t="shared" si="0"/>
        <v>9</v>
      </c>
      <c r="J11" s="127">
        <f t="shared" si="0"/>
        <v>10</v>
      </c>
      <c r="K11" s="127">
        <f>J11+1</f>
        <v>11</v>
      </c>
      <c r="L11" s="127">
        <v>12</v>
      </c>
      <c r="M11" s="127">
        <f>L11+1</f>
        <v>13</v>
      </c>
      <c r="N11" s="127">
        <f>M11+1</f>
        <v>14</v>
      </c>
      <c r="O11" s="127">
        <f>N11+1</f>
        <v>15</v>
      </c>
      <c r="P11" s="127">
        <v>16</v>
      </c>
    </row>
    <row r="12" spans="1:19" s="133" customFormat="1" ht="42.75" hidden="1" customHeight="1" x14ac:dyDescent="0.25">
      <c r="A12" s="129" t="s">
        <v>141</v>
      </c>
      <c r="B12" s="129" t="s">
        <v>142</v>
      </c>
      <c r="C12" s="130"/>
      <c r="D12" s="131" t="s">
        <v>143</v>
      </c>
      <c r="E12" s="132">
        <f>E13</f>
        <v>0</v>
      </c>
      <c r="F12" s="132">
        <f t="shared" ref="F12:N12" si="1">F13</f>
        <v>1E-4</v>
      </c>
      <c r="G12" s="132">
        <f t="shared" si="1"/>
        <v>0</v>
      </c>
      <c r="H12" s="132">
        <f t="shared" si="1"/>
        <v>0</v>
      </c>
      <c r="I12" s="132">
        <f t="shared" si="1"/>
        <v>0</v>
      </c>
      <c r="J12" s="132">
        <f>J13</f>
        <v>0</v>
      </c>
      <c r="K12" s="132">
        <f t="shared" si="1"/>
        <v>1E-4</v>
      </c>
      <c r="L12" s="132">
        <f t="shared" si="1"/>
        <v>0</v>
      </c>
      <c r="M12" s="132">
        <f t="shared" si="1"/>
        <v>0</v>
      </c>
      <c r="N12" s="132">
        <f t="shared" si="1"/>
        <v>0</v>
      </c>
      <c r="O12" s="132">
        <f>O13</f>
        <v>1E-4</v>
      </c>
      <c r="P12" s="132">
        <f>E12+J12</f>
        <v>0</v>
      </c>
      <c r="R12" s="134">
        <f>K12-O12</f>
        <v>0</v>
      </c>
      <c r="S12" s="135">
        <f t="shared" ref="S12:S98" si="2">O12-K12</f>
        <v>0</v>
      </c>
    </row>
    <row r="13" spans="1:19" s="133" customFormat="1" ht="42.75" hidden="1" customHeight="1" x14ac:dyDescent="0.25">
      <c r="A13" s="129" t="s">
        <v>144</v>
      </c>
      <c r="B13" s="129"/>
      <c r="C13" s="130"/>
      <c r="D13" s="131" t="s">
        <v>145</v>
      </c>
      <c r="E13" s="132">
        <f>SUM(E14:E33)-E17-E20</f>
        <v>0</v>
      </c>
      <c r="F13" s="132">
        <f>SUM(F14:F33)-F17-F20+0.0001</f>
        <v>1E-4</v>
      </c>
      <c r="G13" s="132">
        <f>SUM(G14:G33)-G17-G20</f>
        <v>0</v>
      </c>
      <c r="H13" s="132">
        <f>SUM(H14:H33)-H17-H20</f>
        <v>0</v>
      </c>
      <c r="I13" s="132">
        <f>SUM(I14:I33)-I17-I20</f>
        <v>0</v>
      </c>
      <c r="J13" s="132">
        <f>SUM(J14:J33)</f>
        <v>0</v>
      </c>
      <c r="K13" s="132">
        <f>SUM(K14:K33)-K17-K20+0.0001</f>
        <v>1E-4</v>
      </c>
      <c r="L13" s="132">
        <f>SUM(L14:L33)-L17-L20</f>
        <v>0</v>
      </c>
      <c r="M13" s="132">
        <f>SUM(M14:M33)-M17-M20</f>
        <v>0</v>
      </c>
      <c r="N13" s="132">
        <f>SUM(N14:N33)-N17-N20</f>
        <v>0</v>
      </c>
      <c r="O13" s="132">
        <f>SUM(O14:O33)-O17-O20+0.0001</f>
        <v>1E-4</v>
      </c>
      <c r="P13" s="132">
        <f>SUM(P14:P33)-P17-P20</f>
        <v>0</v>
      </c>
      <c r="R13" s="134">
        <f t="shared" ref="R13:R99" si="3">K13-O13</f>
        <v>0</v>
      </c>
      <c r="S13" s="135">
        <f t="shared" si="2"/>
        <v>0</v>
      </c>
    </row>
    <row r="14" spans="1:19" s="139" customFormat="1" ht="47.25" hidden="1" x14ac:dyDescent="0.25">
      <c r="A14" s="136" t="s">
        <v>146</v>
      </c>
      <c r="B14" s="136" t="s">
        <v>147</v>
      </c>
      <c r="C14" s="137" t="s">
        <v>148</v>
      </c>
      <c r="D14" s="32" t="s">
        <v>149</v>
      </c>
      <c r="E14" s="138">
        <f t="shared" ref="E14:E34" si="4">F14+I14</f>
        <v>0</v>
      </c>
      <c r="F14" s="138"/>
      <c r="G14" s="138"/>
      <c r="H14" s="138"/>
      <c r="I14" s="138"/>
      <c r="J14" s="138">
        <f>L14+O14</f>
        <v>0</v>
      </c>
      <c r="K14" s="138"/>
      <c r="L14" s="138"/>
      <c r="M14" s="138"/>
      <c r="N14" s="138"/>
      <c r="O14" s="138"/>
      <c r="P14" s="138">
        <f>E14+J14</f>
        <v>0</v>
      </c>
      <c r="R14" s="134">
        <f t="shared" si="3"/>
        <v>0</v>
      </c>
      <c r="S14" s="135">
        <f t="shared" si="2"/>
        <v>0</v>
      </c>
    </row>
    <row r="15" spans="1:19" s="144" customFormat="1" ht="24" hidden="1" customHeight="1" x14ac:dyDescent="0.25">
      <c r="A15" s="140" t="s">
        <v>150</v>
      </c>
      <c r="B15" s="140" t="s">
        <v>151</v>
      </c>
      <c r="C15" s="141" t="s">
        <v>152</v>
      </c>
      <c r="D15" s="142" t="s">
        <v>153</v>
      </c>
      <c r="E15" s="143">
        <f t="shared" si="4"/>
        <v>0</v>
      </c>
      <c r="F15" s="143"/>
      <c r="G15" s="143"/>
      <c r="H15" s="143"/>
      <c r="I15" s="143"/>
      <c r="J15" s="143">
        <f t="shared" ref="J15:J31" si="5">L15+O15</f>
        <v>0</v>
      </c>
      <c r="K15" s="143"/>
      <c r="L15" s="143"/>
      <c r="M15" s="143"/>
      <c r="N15" s="143"/>
      <c r="O15" s="143"/>
      <c r="P15" s="143">
        <f>E15+J15</f>
        <v>0</v>
      </c>
      <c r="R15" s="145">
        <f t="shared" si="3"/>
        <v>0</v>
      </c>
      <c r="S15" s="73">
        <f t="shared" si="2"/>
        <v>0</v>
      </c>
    </row>
    <row r="16" spans="1:19" s="144" customFormat="1" ht="34.5" hidden="1" customHeight="1" x14ac:dyDescent="0.25">
      <c r="A16" s="140" t="s">
        <v>154</v>
      </c>
      <c r="B16" s="140" t="s">
        <v>155</v>
      </c>
      <c r="C16" s="146" t="s">
        <v>156</v>
      </c>
      <c r="D16" s="142" t="s">
        <v>157</v>
      </c>
      <c r="E16" s="413">
        <f>F16+I16</f>
        <v>0</v>
      </c>
      <c r="F16" s="413"/>
      <c r="G16" s="413"/>
      <c r="H16" s="413"/>
      <c r="I16" s="413"/>
      <c r="J16" s="413">
        <f>L16+O16</f>
        <v>0</v>
      </c>
      <c r="K16" s="413"/>
      <c r="L16" s="413"/>
      <c r="M16" s="413"/>
      <c r="N16" s="413"/>
      <c r="O16" s="413"/>
      <c r="P16" s="143">
        <f>E16+J16</f>
        <v>0</v>
      </c>
      <c r="R16" s="145">
        <f t="shared" si="3"/>
        <v>0</v>
      </c>
      <c r="S16" s="73">
        <f t="shared" si="2"/>
        <v>0</v>
      </c>
    </row>
    <row r="17" spans="1:19" s="419" customFormat="1" ht="47.25" hidden="1" x14ac:dyDescent="0.25">
      <c r="A17" s="414"/>
      <c r="B17" s="414"/>
      <c r="C17" s="415"/>
      <c r="D17" s="416" t="s">
        <v>158</v>
      </c>
      <c r="E17" s="417">
        <f t="shared" si="4"/>
        <v>0</v>
      </c>
      <c r="F17" s="417"/>
      <c r="G17" s="417"/>
      <c r="H17" s="417"/>
      <c r="I17" s="417"/>
      <c r="J17" s="417"/>
      <c r="K17" s="417"/>
      <c r="L17" s="417"/>
      <c r="M17" s="417"/>
      <c r="N17" s="417"/>
      <c r="O17" s="417"/>
      <c r="P17" s="418">
        <f t="shared" ref="P17:P75" si="6">E17+J17</f>
        <v>0</v>
      </c>
      <c r="R17" s="145">
        <f t="shared" si="3"/>
        <v>0</v>
      </c>
      <c r="S17" s="73">
        <f t="shared" si="2"/>
        <v>0</v>
      </c>
    </row>
    <row r="18" spans="1:19" s="144" customFormat="1" ht="30.75" hidden="1" customHeight="1" x14ac:dyDescent="0.25">
      <c r="A18" s="140" t="s">
        <v>159</v>
      </c>
      <c r="B18" s="140" t="s">
        <v>160</v>
      </c>
      <c r="C18" s="146" t="s">
        <v>161</v>
      </c>
      <c r="D18" s="154" t="s">
        <v>162</v>
      </c>
      <c r="E18" s="413">
        <f t="shared" si="4"/>
        <v>0</v>
      </c>
      <c r="F18" s="413"/>
      <c r="G18" s="413"/>
      <c r="H18" s="413"/>
      <c r="I18" s="413"/>
      <c r="J18" s="413">
        <f t="shared" si="5"/>
        <v>0</v>
      </c>
      <c r="K18" s="413"/>
      <c r="L18" s="413"/>
      <c r="M18" s="413"/>
      <c r="N18" s="413"/>
      <c r="O18" s="413"/>
      <c r="P18" s="143">
        <f t="shared" si="6"/>
        <v>0</v>
      </c>
      <c r="R18" s="145">
        <f t="shared" si="3"/>
        <v>0</v>
      </c>
      <c r="S18" s="73">
        <f t="shared" si="2"/>
        <v>0</v>
      </c>
    </row>
    <row r="19" spans="1:19" s="144" customFormat="1" ht="30.75" hidden="1" customHeight="1" x14ac:dyDescent="0.25">
      <c r="A19" s="140" t="s">
        <v>163</v>
      </c>
      <c r="B19" s="140" t="s">
        <v>164</v>
      </c>
      <c r="C19" s="155" t="s">
        <v>165</v>
      </c>
      <c r="D19" s="156" t="s">
        <v>166</v>
      </c>
      <c r="E19" s="413">
        <f t="shared" si="4"/>
        <v>0</v>
      </c>
      <c r="F19" s="413"/>
      <c r="G19" s="413"/>
      <c r="H19" s="413"/>
      <c r="I19" s="413"/>
      <c r="J19" s="413">
        <f t="shared" si="5"/>
        <v>0</v>
      </c>
      <c r="K19" s="413"/>
      <c r="L19" s="413"/>
      <c r="M19" s="413"/>
      <c r="N19" s="413"/>
      <c r="O19" s="413"/>
      <c r="P19" s="143">
        <f t="shared" si="6"/>
        <v>0</v>
      </c>
      <c r="R19" s="145">
        <f t="shared" si="3"/>
        <v>0</v>
      </c>
      <c r="S19" s="73">
        <f t="shared" si="2"/>
        <v>0</v>
      </c>
    </row>
    <row r="20" spans="1:19" s="419" customFormat="1" ht="78.75" hidden="1" x14ac:dyDescent="0.25">
      <c r="A20" s="414"/>
      <c r="B20" s="414"/>
      <c r="C20" s="420"/>
      <c r="D20" s="421" t="s">
        <v>167</v>
      </c>
      <c r="E20" s="417">
        <f t="shared" si="4"/>
        <v>0</v>
      </c>
      <c r="F20" s="417"/>
      <c r="G20" s="417"/>
      <c r="H20" s="417"/>
      <c r="I20" s="417"/>
      <c r="J20" s="417"/>
      <c r="K20" s="417"/>
      <c r="L20" s="417"/>
      <c r="M20" s="417"/>
      <c r="N20" s="417"/>
      <c r="O20" s="417"/>
      <c r="P20" s="418">
        <f t="shared" si="6"/>
        <v>0</v>
      </c>
      <c r="R20" s="145">
        <f t="shared" si="3"/>
        <v>0</v>
      </c>
      <c r="S20" s="73">
        <f t="shared" si="2"/>
        <v>0</v>
      </c>
    </row>
    <row r="21" spans="1:19" s="144" customFormat="1" ht="30.75" hidden="1" customHeight="1" x14ac:dyDescent="0.25">
      <c r="A21" s="140" t="s">
        <v>168</v>
      </c>
      <c r="B21" s="140" t="s">
        <v>169</v>
      </c>
      <c r="C21" s="155" t="s">
        <v>165</v>
      </c>
      <c r="D21" s="159" t="s">
        <v>170</v>
      </c>
      <c r="E21" s="413">
        <f>F21+I21</f>
        <v>0</v>
      </c>
      <c r="F21" s="413"/>
      <c r="G21" s="413"/>
      <c r="H21" s="413"/>
      <c r="I21" s="413"/>
      <c r="J21" s="413">
        <f>L21+O21</f>
        <v>0</v>
      </c>
      <c r="K21" s="413"/>
      <c r="L21" s="413"/>
      <c r="M21" s="413"/>
      <c r="N21" s="413"/>
      <c r="O21" s="413"/>
      <c r="P21" s="143">
        <f>E21+J21</f>
        <v>0</v>
      </c>
      <c r="R21" s="145">
        <f t="shared" si="3"/>
        <v>0</v>
      </c>
      <c r="S21" s="73">
        <f t="shared" si="2"/>
        <v>0</v>
      </c>
    </row>
    <row r="22" spans="1:19" s="144" customFormat="1" hidden="1" x14ac:dyDescent="0.25">
      <c r="A22" s="140" t="s">
        <v>171</v>
      </c>
      <c r="B22" s="140" t="s">
        <v>172</v>
      </c>
      <c r="C22" s="141" t="s">
        <v>173</v>
      </c>
      <c r="D22" s="160" t="s">
        <v>174</v>
      </c>
      <c r="E22" s="143">
        <f t="shared" si="4"/>
        <v>0</v>
      </c>
      <c r="F22" s="143"/>
      <c r="G22" s="143"/>
      <c r="H22" s="143"/>
      <c r="I22" s="143"/>
      <c r="J22" s="143">
        <f>L22+O22</f>
        <v>0</v>
      </c>
      <c r="K22" s="143"/>
      <c r="L22" s="143"/>
      <c r="M22" s="143"/>
      <c r="N22" s="143"/>
      <c r="O22" s="143"/>
      <c r="P22" s="143">
        <f t="shared" si="6"/>
        <v>0</v>
      </c>
      <c r="R22" s="145">
        <f t="shared" si="3"/>
        <v>0</v>
      </c>
      <c r="S22" s="73">
        <f t="shared" si="2"/>
        <v>0</v>
      </c>
    </row>
    <row r="23" spans="1:19" s="144" customFormat="1" ht="18.75" hidden="1" customHeight="1" x14ac:dyDescent="0.25">
      <c r="A23" s="140" t="s">
        <v>175</v>
      </c>
      <c r="B23" s="140" t="s">
        <v>176</v>
      </c>
      <c r="C23" s="141" t="s">
        <v>177</v>
      </c>
      <c r="D23" s="142" t="s">
        <v>178</v>
      </c>
      <c r="E23" s="161">
        <f t="shared" si="4"/>
        <v>0</v>
      </c>
      <c r="F23" s="161"/>
      <c r="G23" s="161"/>
      <c r="H23" s="161"/>
      <c r="I23" s="161"/>
      <c r="J23" s="161">
        <f t="shared" si="5"/>
        <v>0</v>
      </c>
      <c r="K23" s="161"/>
      <c r="L23" s="161"/>
      <c r="M23" s="161"/>
      <c r="N23" s="161"/>
      <c r="O23" s="161"/>
      <c r="P23" s="161">
        <f t="shared" si="6"/>
        <v>0</v>
      </c>
      <c r="R23" s="145">
        <f t="shared" si="3"/>
        <v>0</v>
      </c>
      <c r="S23" s="73">
        <f t="shared" si="2"/>
        <v>0</v>
      </c>
    </row>
    <row r="24" spans="1:19" s="144" customFormat="1" ht="36" hidden="1" customHeight="1" x14ac:dyDescent="0.25">
      <c r="A24" s="140" t="s">
        <v>179</v>
      </c>
      <c r="B24" s="140" t="s">
        <v>180</v>
      </c>
      <c r="C24" s="141" t="s">
        <v>181</v>
      </c>
      <c r="D24" s="159" t="s">
        <v>182</v>
      </c>
      <c r="E24" s="161">
        <f t="shared" si="4"/>
        <v>0</v>
      </c>
      <c r="F24" s="161"/>
      <c r="G24" s="161"/>
      <c r="H24" s="161"/>
      <c r="I24" s="161"/>
      <c r="J24" s="161">
        <f t="shared" si="5"/>
        <v>0</v>
      </c>
      <c r="K24" s="161"/>
      <c r="L24" s="161"/>
      <c r="M24" s="161"/>
      <c r="N24" s="161"/>
      <c r="O24" s="161"/>
      <c r="P24" s="161">
        <f t="shared" si="6"/>
        <v>0</v>
      </c>
      <c r="R24" s="145">
        <f t="shared" si="3"/>
        <v>0</v>
      </c>
      <c r="S24" s="73">
        <f t="shared" si="2"/>
        <v>0</v>
      </c>
    </row>
    <row r="25" spans="1:19" s="144" customFormat="1" ht="22.5" hidden="1" customHeight="1" x14ac:dyDescent="0.25">
      <c r="A25" s="140" t="s">
        <v>183</v>
      </c>
      <c r="B25" s="140" t="s">
        <v>184</v>
      </c>
      <c r="C25" s="141" t="s">
        <v>185</v>
      </c>
      <c r="D25" s="159" t="s">
        <v>186</v>
      </c>
      <c r="E25" s="143"/>
      <c r="F25" s="143"/>
      <c r="G25" s="143"/>
      <c r="H25" s="143"/>
      <c r="I25" s="143"/>
      <c r="J25" s="143">
        <f t="shared" si="5"/>
        <v>0</v>
      </c>
      <c r="K25" s="422"/>
      <c r="L25" s="422"/>
      <c r="M25" s="422"/>
      <c r="N25" s="422"/>
      <c r="O25" s="422"/>
      <c r="P25" s="143"/>
      <c r="R25" s="145"/>
      <c r="S25" s="73"/>
    </row>
    <row r="26" spans="1:19" s="139" customFormat="1" ht="22.5" hidden="1" customHeight="1" x14ac:dyDescent="0.25">
      <c r="A26" s="136" t="s">
        <v>187</v>
      </c>
      <c r="B26" s="136" t="s">
        <v>188</v>
      </c>
      <c r="C26" s="137" t="s">
        <v>189</v>
      </c>
      <c r="D26" s="163" t="s">
        <v>190</v>
      </c>
      <c r="E26" s="138">
        <f t="shared" si="4"/>
        <v>0</v>
      </c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>
        <f t="shared" si="6"/>
        <v>0</v>
      </c>
      <c r="R26" s="134"/>
      <c r="S26" s="135"/>
    </row>
    <row r="27" spans="1:19" s="139" customFormat="1" ht="22.5" hidden="1" customHeight="1" x14ac:dyDescent="0.25">
      <c r="A27" s="136" t="s">
        <v>191</v>
      </c>
      <c r="B27" s="136" t="s">
        <v>192</v>
      </c>
      <c r="C27" s="137" t="s">
        <v>185</v>
      </c>
      <c r="D27" s="164" t="s">
        <v>193</v>
      </c>
      <c r="E27" s="143">
        <f>F27+I27</f>
        <v>0</v>
      </c>
      <c r="F27" s="143"/>
      <c r="G27" s="143"/>
      <c r="H27" s="143"/>
      <c r="I27" s="143"/>
      <c r="J27" s="143">
        <f>L27+O27</f>
        <v>0</v>
      </c>
      <c r="K27" s="143"/>
      <c r="L27" s="143"/>
      <c r="M27" s="143"/>
      <c r="N27" s="143"/>
      <c r="O27" s="143"/>
      <c r="P27" s="143">
        <f>E27+J27</f>
        <v>0</v>
      </c>
      <c r="R27" s="134"/>
      <c r="S27" s="135"/>
    </row>
    <row r="28" spans="1:19" s="144" customFormat="1" ht="99" hidden="1" customHeight="1" x14ac:dyDescent="0.25">
      <c r="A28" s="140" t="s">
        <v>194</v>
      </c>
      <c r="B28" s="140" t="s">
        <v>195</v>
      </c>
      <c r="C28" s="141" t="s">
        <v>185</v>
      </c>
      <c r="D28" s="160" t="s">
        <v>196</v>
      </c>
      <c r="E28" s="161">
        <f t="shared" si="4"/>
        <v>0</v>
      </c>
      <c r="F28" s="161"/>
      <c r="G28" s="161"/>
      <c r="H28" s="161"/>
      <c r="I28" s="161"/>
      <c r="J28" s="161">
        <f t="shared" si="5"/>
        <v>0</v>
      </c>
      <c r="K28" s="161"/>
      <c r="L28" s="161"/>
      <c r="M28" s="161"/>
      <c r="N28" s="161"/>
      <c r="O28" s="161"/>
      <c r="P28" s="161">
        <f t="shared" si="6"/>
        <v>0</v>
      </c>
      <c r="R28" s="145">
        <f t="shared" si="3"/>
        <v>0</v>
      </c>
      <c r="S28" s="73">
        <f t="shared" si="2"/>
        <v>0</v>
      </c>
    </row>
    <row r="29" spans="1:19" s="139" customFormat="1" ht="27" hidden="1" customHeight="1" x14ac:dyDescent="0.25">
      <c r="A29" s="136" t="s">
        <v>197</v>
      </c>
      <c r="B29" s="136" t="s">
        <v>198</v>
      </c>
      <c r="C29" s="137" t="s">
        <v>185</v>
      </c>
      <c r="D29" s="164" t="s">
        <v>199</v>
      </c>
      <c r="E29" s="138">
        <f>F29+I29</f>
        <v>0</v>
      </c>
      <c r="F29" s="138"/>
      <c r="G29" s="138"/>
      <c r="H29" s="138"/>
      <c r="I29" s="138"/>
      <c r="J29" s="138">
        <f t="shared" si="5"/>
        <v>0</v>
      </c>
      <c r="K29" s="138"/>
      <c r="L29" s="138"/>
      <c r="M29" s="138"/>
      <c r="N29" s="138"/>
      <c r="O29" s="138"/>
      <c r="P29" s="138">
        <f t="shared" si="6"/>
        <v>0</v>
      </c>
      <c r="R29" s="134">
        <f t="shared" si="3"/>
        <v>0</v>
      </c>
      <c r="S29" s="135">
        <f t="shared" si="2"/>
        <v>0</v>
      </c>
    </row>
    <row r="30" spans="1:19" s="144" customFormat="1" ht="33.75" hidden="1" customHeight="1" x14ac:dyDescent="0.25">
      <c r="A30" s="140" t="s">
        <v>200</v>
      </c>
      <c r="B30" s="140" t="s">
        <v>201</v>
      </c>
      <c r="C30" s="146" t="s">
        <v>202</v>
      </c>
      <c r="D30" s="156" t="s">
        <v>203</v>
      </c>
      <c r="E30" s="422">
        <f>F30+I30</f>
        <v>0</v>
      </c>
      <c r="F30" s="422"/>
      <c r="G30" s="422"/>
      <c r="H30" s="422"/>
      <c r="I30" s="422"/>
      <c r="J30" s="138">
        <f t="shared" si="5"/>
        <v>0</v>
      </c>
      <c r="K30" s="422"/>
      <c r="L30" s="422"/>
      <c r="M30" s="422"/>
      <c r="N30" s="422"/>
      <c r="O30" s="422"/>
      <c r="P30" s="422">
        <f>E30+J30</f>
        <v>0</v>
      </c>
      <c r="R30" s="145">
        <f>K30-O30</f>
        <v>0</v>
      </c>
      <c r="S30" s="73">
        <f>O30-K30</f>
        <v>0</v>
      </c>
    </row>
    <row r="31" spans="1:19" s="144" customFormat="1" ht="33.75" hidden="1" customHeight="1" x14ac:dyDescent="0.25">
      <c r="A31" s="140" t="s">
        <v>204</v>
      </c>
      <c r="B31" s="165">
        <v>8240</v>
      </c>
      <c r="C31" s="146" t="s">
        <v>202</v>
      </c>
      <c r="D31" s="166" t="s">
        <v>205</v>
      </c>
      <c r="E31" s="422">
        <f>F31+I31</f>
        <v>0</v>
      </c>
      <c r="F31" s="422"/>
      <c r="G31" s="422"/>
      <c r="H31" s="422"/>
      <c r="I31" s="422"/>
      <c r="J31" s="138">
        <f t="shared" si="5"/>
        <v>0</v>
      </c>
      <c r="K31" s="422"/>
      <c r="L31" s="422"/>
      <c r="M31" s="422"/>
      <c r="N31" s="422"/>
      <c r="O31" s="422"/>
      <c r="P31" s="422">
        <f>E31+J31</f>
        <v>0</v>
      </c>
      <c r="R31" s="145"/>
      <c r="S31" s="73"/>
    </row>
    <row r="32" spans="1:19" s="144" customFormat="1" ht="39" hidden="1" customHeight="1" x14ac:dyDescent="0.25">
      <c r="A32" s="140" t="s">
        <v>206</v>
      </c>
      <c r="B32" s="140" t="s">
        <v>207</v>
      </c>
      <c r="C32" s="146" t="s">
        <v>151</v>
      </c>
      <c r="D32" s="156" t="s">
        <v>208</v>
      </c>
      <c r="E32" s="422">
        <f>F32+I32</f>
        <v>0</v>
      </c>
      <c r="F32" s="422"/>
      <c r="G32" s="422"/>
      <c r="H32" s="422"/>
      <c r="I32" s="422"/>
      <c r="J32" s="422">
        <f>L32+O32</f>
        <v>0</v>
      </c>
      <c r="K32" s="422"/>
      <c r="L32" s="422"/>
      <c r="M32" s="422"/>
      <c r="N32" s="422"/>
      <c r="O32" s="422"/>
      <c r="P32" s="422">
        <f>E32+J32</f>
        <v>0</v>
      </c>
      <c r="R32" s="145">
        <f>P33-Q33</f>
        <v>0</v>
      </c>
      <c r="S32" s="75"/>
    </row>
    <row r="33" spans="1:19" s="144" customFormat="1" ht="37.5" hidden="1" customHeight="1" x14ac:dyDescent="0.25">
      <c r="A33" s="140" t="s">
        <v>206</v>
      </c>
      <c r="B33" s="140" t="s">
        <v>207</v>
      </c>
      <c r="C33" s="146" t="s">
        <v>151</v>
      </c>
      <c r="D33" s="156" t="s">
        <v>208</v>
      </c>
      <c r="E33" s="422">
        <f>F33+I33</f>
        <v>0</v>
      </c>
      <c r="F33" s="422"/>
      <c r="G33" s="422"/>
      <c r="H33" s="422"/>
      <c r="I33" s="422"/>
      <c r="J33" s="422">
        <f>L33+O33</f>
        <v>0</v>
      </c>
      <c r="K33" s="422"/>
      <c r="L33" s="422"/>
      <c r="M33" s="422"/>
      <c r="N33" s="422"/>
      <c r="O33" s="422"/>
      <c r="P33" s="422">
        <f t="shared" si="6"/>
        <v>0</v>
      </c>
      <c r="R33" s="145">
        <f>P34-Q34</f>
        <v>-8825379</v>
      </c>
      <c r="S33" s="75"/>
    </row>
    <row r="34" spans="1:19" s="124" customFormat="1" ht="49.5" customHeight="1" x14ac:dyDescent="0.25">
      <c r="A34" s="129" t="s">
        <v>209</v>
      </c>
      <c r="B34" s="129" t="s">
        <v>210</v>
      </c>
      <c r="C34" s="167"/>
      <c r="D34" s="131" t="s">
        <v>211</v>
      </c>
      <c r="E34" s="132">
        <f t="shared" si="4"/>
        <v>1100000</v>
      </c>
      <c r="F34" s="132">
        <f t="shared" ref="F34:O34" si="7">F35</f>
        <v>1100000</v>
      </c>
      <c r="G34" s="132">
        <f>G35</f>
        <v>0</v>
      </c>
      <c r="H34" s="132">
        <f t="shared" si="7"/>
        <v>0</v>
      </c>
      <c r="I34" s="132">
        <f t="shared" si="7"/>
        <v>0</v>
      </c>
      <c r="J34" s="132">
        <f t="shared" si="7"/>
        <v>0</v>
      </c>
      <c r="K34" s="132">
        <f t="shared" si="7"/>
        <v>0</v>
      </c>
      <c r="L34" s="132">
        <f t="shared" si="7"/>
        <v>0</v>
      </c>
      <c r="M34" s="132">
        <f t="shared" si="7"/>
        <v>0</v>
      </c>
      <c r="N34" s="132">
        <f t="shared" si="7"/>
        <v>0</v>
      </c>
      <c r="O34" s="132">
        <f t="shared" si="7"/>
        <v>0</v>
      </c>
      <c r="P34" s="132">
        <f>E34+J34</f>
        <v>1100000</v>
      </c>
      <c r="Q34" s="411">
        <v>9925379</v>
      </c>
      <c r="R34" s="134">
        <f>K34-O34</f>
        <v>0</v>
      </c>
      <c r="S34" s="135">
        <f t="shared" si="2"/>
        <v>0</v>
      </c>
    </row>
    <row r="35" spans="1:19" s="124" customFormat="1" ht="53.25" customHeight="1" x14ac:dyDescent="0.25">
      <c r="A35" s="129" t="s">
        <v>212</v>
      </c>
      <c r="B35" s="129"/>
      <c r="C35" s="167"/>
      <c r="D35" s="131" t="s">
        <v>213</v>
      </c>
      <c r="E35" s="132">
        <f>F35+I35</f>
        <v>1100000</v>
      </c>
      <c r="F35" s="132">
        <f>SUM(F36:F70)-F39-F41-F56-F55-F45-F43</f>
        <v>1100000</v>
      </c>
      <c r="G35" s="132">
        <f>SUM(G36:G70)-G39-G41-G59-G43-G45</f>
        <v>0</v>
      </c>
      <c r="H35" s="132">
        <f>SUM(H36:H70)-H39-H41</f>
        <v>0</v>
      </c>
      <c r="I35" s="132">
        <f>SUM(I36:I70)-I39-I41</f>
        <v>0</v>
      </c>
      <c r="J35" s="132">
        <f>L35+O35</f>
        <v>0</v>
      </c>
      <c r="K35" s="132">
        <f>SUM(K36:K70)-K39-K41-K45-K43</f>
        <v>0</v>
      </c>
      <c r="L35" s="132">
        <f>SUM(L36:L70)-L39-L41-L45</f>
        <v>0</v>
      </c>
      <c r="M35" s="132">
        <f>SUM(M36:M70)-M39-M41-M45</f>
        <v>0</v>
      </c>
      <c r="N35" s="132">
        <f>SUM(N36:N70)-N39-N41-N45</f>
        <v>0</v>
      </c>
      <c r="O35" s="132">
        <f>SUM(O36:O70)-O39-O41-O45-O43-O44</f>
        <v>0</v>
      </c>
      <c r="P35" s="132">
        <f>E35+J35</f>
        <v>1100000</v>
      </c>
      <c r="R35" s="134">
        <f t="shared" si="3"/>
        <v>0</v>
      </c>
      <c r="S35" s="135">
        <f t="shared" si="2"/>
        <v>0</v>
      </c>
    </row>
    <row r="36" spans="1:19" s="124" customFormat="1" ht="53.25" hidden="1" customHeight="1" x14ac:dyDescent="0.25">
      <c r="A36" s="136" t="s">
        <v>214</v>
      </c>
      <c r="B36" s="136" t="s">
        <v>147</v>
      </c>
      <c r="C36" s="137" t="s">
        <v>148</v>
      </c>
      <c r="D36" s="32" t="s">
        <v>215</v>
      </c>
      <c r="E36" s="169">
        <f>F36+I36</f>
        <v>0</v>
      </c>
      <c r="F36" s="138"/>
      <c r="G36" s="138"/>
      <c r="H36" s="138"/>
      <c r="I36" s="132"/>
      <c r="J36" s="138">
        <f>L36+O36</f>
        <v>0</v>
      </c>
      <c r="K36" s="132"/>
      <c r="L36" s="132"/>
      <c r="M36" s="132"/>
      <c r="N36" s="132"/>
      <c r="O36" s="132"/>
      <c r="P36" s="138">
        <f t="shared" si="6"/>
        <v>0</v>
      </c>
      <c r="R36" s="134">
        <f t="shared" si="3"/>
        <v>0</v>
      </c>
      <c r="S36" s="135">
        <f t="shared" si="2"/>
        <v>0</v>
      </c>
    </row>
    <row r="37" spans="1:19" ht="20.25" hidden="1" customHeight="1" x14ac:dyDescent="0.25">
      <c r="A37" s="136" t="s">
        <v>216</v>
      </c>
      <c r="B37" s="136" t="s">
        <v>217</v>
      </c>
      <c r="C37" s="137" t="s">
        <v>218</v>
      </c>
      <c r="D37" s="170" t="s">
        <v>219</v>
      </c>
      <c r="E37" s="169">
        <f>F37+I37</f>
        <v>0</v>
      </c>
      <c r="F37" s="169"/>
      <c r="G37" s="169"/>
      <c r="H37" s="169"/>
      <c r="I37" s="169"/>
      <c r="J37" s="138">
        <f t="shared" ref="J37:J52" si="8">L37+O37</f>
        <v>0</v>
      </c>
      <c r="K37" s="138"/>
      <c r="L37" s="169"/>
      <c r="M37" s="169"/>
      <c r="N37" s="169"/>
      <c r="O37" s="138"/>
      <c r="P37" s="138">
        <f t="shared" si="6"/>
        <v>0</v>
      </c>
      <c r="R37" s="134">
        <f t="shared" si="3"/>
        <v>0</v>
      </c>
      <c r="S37" s="135">
        <f t="shared" si="2"/>
        <v>0</v>
      </c>
    </row>
    <row r="38" spans="1:19" s="7" customFormat="1" ht="62.25" customHeight="1" x14ac:dyDescent="0.25">
      <c r="A38" s="140" t="s">
        <v>220</v>
      </c>
      <c r="B38" s="140" t="s">
        <v>221</v>
      </c>
      <c r="C38" s="141" t="s">
        <v>222</v>
      </c>
      <c r="D38" s="171" t="s">
        <v>223</v>
      </c>
      <c r="E38" s="413">
        <f>F38+I38</f>
        <v>1100000</v>
      </c>
      <c r="F38" s="413">
        <v>1100000</v>
      </c>
      <c r="G38" s="413"/>
      <c r="H38" s="413"/>
      <c r="I38" s="413"/>
      <c r="J38" s="143">
        <f t="shared" si="8"/>
        <v>0</v>
      </c>
      <c r="K38" s="413"/>
      <c r="L38" s="413"/>
      <c r="M38" s="413"/>
      <c r="N38" s="413"/>
      <c r="O38" s="413"/>
      <c r="P38" s="143">
        <f t="shared" si="6"/>
        <v>1100000</v>
      </c>
      <c r="Q38" s="75" t="e">
        <f>P38+#REF!+#REF!</f>
        <v>#REF!</v>
      </c>
      <c r="R38" s="145">
        <f t="shared" si="3"/>
        <v>0</v>
      </c>
      <c r="S38" s="75"/>
    </row>
    <row r="39" spans="1:19" s="7" customFormat="1" ht="62.25" customHeight="1" x14ac:dyDescent="0.25">
      <c r="A39" s="140"/>
      <c r="B39" s="140"/>
      <c r="C39" s="141"/>
      <c r="D39" s="446" t="s">
        <v>158</v>
      </c>
      <c r="E39" s="413">
        <f>F39+I39</f>
        <v>1100000</v>
      </c>
      <c r="F39" s="425">
        <v>1100000</v>
      </c>
      <c r="G39" s="413"/>
      <c r="H39" s="413"/>
      <c r="I39" s="413"/>
      <c r="J39" s="413"/>
      <c r="K39" s="413"/>
      <c r="L39" s="413"/>
      <c r="M39" s="413"/>
      <c r="N39" s="413"/>
      <c r="O39" s="413"/>
      <c r="P39" s="143">
        <f t="shared" si="6"/>
        <v>1100000</v>
      </c>
      <c r="R39" s="145">
        <f t="shared" si="3"/>
        <v>0</v>
      </c>
      <c r="S39" s="75"/>
    </row>
    <row r="40" spans="1:19" s="7" customFormat="1" ht="33.75" hidden="1" customHeight="1" x14ac:dyDescent="0.25">
      <c r="A40" s="140" t="s">
        <v>224</v>
      </c>
      <c r="B40" s="140" t="s">
        <v>225</v>
      </c>
      <c r="C40" s="141" t="s">
        <v>222</v>
      </c>
      <c r="D40" s="160" t="s">
        <v>226</v>
      </c>
      <c r="E40" s="423">
        <f t="shared" ref="E40:E53" si="9">F40+I40</f>
        <v>0</v>
      </c>
      <c r="F40" s="423"/>
      <c r="G40" s="423"/>
      <c r="H40" s="423"/>
      <c r="I40" s="423"/>
      <c r="J40" s="161">
        <f t="shared" si="8"/>
        <v>0</v>
      </c>
      <c r="K40" s="161"/>
      <c r="L40" s="423"/>
      <c r="M40" s="423"/>
      <c r="N40" s="423"/>
      <c r="O40" s="161"/>
      <c r="P40" s="161">
        <f t="shared" si="6"/>
        <v>0</v>
      </c>
      <c r="R40" s="145">
        <f t="shared" si="3"/>
        <v>0</v>
      </c>
      <c r="S40" s="75">
        <f t="shared" si="2"/>
        <v>0</v>
      </c>
    </row>
    <row r="41" spans="1:19" s="177" customFormat="1" ht="67.5" hidden="1" customHeight="1" x14ac:dyDescent="0.25">
      <c r="A41" s="414"/>
      <c r="B41" s="414"/>
      <c r="C41" s="424"/>
      <c r="D41" s="176" t="s">
        <v>227</v>
      </c>
      <c r="E41" s="423">
        <f t="shared" si="9"/>
        <v>0</v>
      </c>
      <c r="F41" s="417"/>
      <c r="G41" s="417"/>
      <c r="H41" s="417"/>
      <c r="I41" s="417"/>
      <c r="J41" s="161">
        <f t="shared" si="8"/>
        <v>0</v>
      </c>
      <c r="K41" s="418"/>
      <c r="L41" s="417"/>
      <c r="M41" s="417"/>
      <c r="N41" s="417"/>
      <c r="O41" s="418"/>
      <c r="P41" s="161">
        <f t="shared" si="6"/>
        <v>0</v>
      </c>
      <c r="R41" s="145">
        <f t="shared" si="3"/>
        <v>0</v>
      </c>
      <c r="S41" s="75">
        <f t="shared" si="2"/>
        <v>0</v>
      </c>
    </row>
    <row r="42" spans="1:19" s="177" customFormat="1" ht="31.5" hidden="1" x14ac:dyDescent="0.25">
      <c r="A42" s="140" t="s">
        <v>228</v>
      </c>
      <c r="B42" s="140" t="s">
        <v>229</v>
      </c>
      <c r="C42" s="141" t="s">
        <v>222</v>
      </c>
      <c r="D42" s="142" t="s">
        <v>226</v>
      </c>
      <c r="E42" s="413">
        <f t="shared" si="9"/>
        <v>0</v>
      </c>
      <c r="F42" s="413"/>
      <c r="G42" s="413"/>
      <c r="H42" s="413"/>
      <c r="I42" s="413"/>
      <c r="J42" s="143">
        <f t="shared" si="8"/>
        <v>0</v>
      </c>
      <c r="K42" s="143"/>
      <c r="L42" s="413"/>
      <c r="M42" s="413"/>
      <c r="N42" s="413"/>
      <c r="O42" s="143"/>
      <c r="P42" s="143">
        <f>E42+J42</f>
        <v>0</v>
      </c>
      <c r="R42" s="145"/>
      <c r="S42" s="75"/>
    </row>
    <row r="43" spans="1:19" s="177" customFormat="1" hidden="1" x14ac:dyDescent="0.25">
      <c r="A43" s="414"/>
      <c r="B43" s="414"/>
      <c r="C43" s="424"/>
      <c r="D43" s="416" t="s">
        <v>230</v>
      </c>
      <c r="E43" s="423">
        <f t="shared" si="9"/>
        <v>0</v>
      </c>
      <c r="F43" s="417"/>
      <c r="G43" s="417"/>
      <c r="H43" s="417"/>
      <c r="I43" s="417"/>
      <c r="J43" s="161">
        <f t="shared" si="8"/>
        <v>0</v>
      </c>
      <c r="K43" s="418"/>
      <c r="L43" s="417"/>
      <c r="M43" s="417"/>
      <c r="N43" s="417"/>
      <c r="O43" s="418"/>
      <c r="P43" s="161">
        <f>E43+J43</f>
        <v>0</v>
      </c>
      <c r="R43" s="145"/>
      <c r="S43" s="75"/>
    </row>
    <row r="44" spans="1:19" s="177" customFormat="1" hidden="1" x14ac:dyDescent="0.25">
      <c r="A44" s="414"/>
      <c r="B44" s="414"/>
      <c r="C44" s="424"/>
      <c r="D44" s="416" t="s">
        <v>231</v>
      </c>
      <c r="E44" s="423">
        <f t="shared" si="9"/>
        <v>0</v>
      </c>
      <c r="F44" s="417"/>
      <c r="G44" s="417"/>
      <c r="H44" s="417"/>
      <c r="I44" s="417"/>
      <c r="J44" s="161">
        <f t="shared" si="8"/>
        <v>0</v>
      </c>
      <c r="K44" s="418"/>
      <c r="L44" s="417"/>
      <c r="M44" s="417"/>
      <c r="N44" s="417"/>
      <c r="O44" s="418"/>
      <c r="P44" s="161">
        <f t="shared" si="6"/>
        <v>0</v>
      </c>
      <c r="R44" s="145"/>
      <c r="S44" s="75"/>
    </row>
    <row r="45" spans="1:19" s="177" customFormat="1" hidden="1" x14ac:dyDescent="0.25">
      <c r="A45" s="414"/>
      <c r="B45" s="414"/>
      <c r="C45" s="424"/>
      <c r="D45" s="416" t="s">
        <v>232</v>
      </c>
      <c r="E45" s="425">
        <f t="shared" si="9"/>
        <v>0</v>
      </c>
      <c r="F45" s="425"/>
      <c r="G45" s="425"/>
      <c r="H45" s="425"/>
      <c r="I45" s="425"/>
      <c r="J45" s="426">
        <f t="shared" si="8"/>
        <v>0</v>
      </c>
      <c r="K45" s="426"/>
      <c r="L45" s="425"/>
      <c r="M45" s="425"/>
      <c r="N45" s="425"/>
      <c r="O45" s="426"/>
      <c r="P45" s="426">
        <f>E45+J45</f>
        <v>0</v>
      </c>
      <c r="R45" s="427"/>
      <c r="S45" s="428"/>
    </row>
    <row r="46" spans="1:19" s="7" customFormat="1" ht="59.25" hidden="1" customHeight="1" x14ac:dyDescent="0.25">
      <c r="A46" s="140" t="s">
        <v>233</v>
      </c>
      <c r="B46" s="140" t="s">
        <v>234</v>
      </c>
      <c r="C46" s="141" t="s">
        <v>235</v>
      </c>
      <c r="D46" s="142" t="s">
        <v>236</v>
      </c>
      <c r="E46" s="413">
        <f t="shared" si="9"/>
        <v>0</v>
      </c>
      <c r="F46" s="413"/>
      <c r="G46" s="413"/>
      <c r="H46" s="413"/>
      <c r="I46" s="413"/>
      <c r="J46" s="143">
        <f t="shared" si="8"/>
        <v>0</v>
      </c>
      <c r="K46" s="143"/>
      <c r="L46" s="413"/>
      <c r="M46" s="413"/>
      <c r="N46" s="413"/>
      <c r="O46" s="143"/>
      <c r="P46" s="143">
        <f t="shared" si="6"/>
        <v>0</v>
      </c>
      <c r="R46" s="145">
        <f t="shared" si="3"/>
        <v>0</v>
      </c>
      <c r="S46" s="75">
        <f t="shared" si="2"/>
        <v>0</v>
      </c>
    </row>
    <row r="47" spans="1:19" ht="29.25" hidden="1" customHeight="1" x14ac:dyDescent="0.25">
      <c r="A47" s="136" t="s">
        <v>237</v>
      </c>
      <c r="B47" s="136" t="s">
        <v>238</v>
      </c>
      <c r="C47" s="137" t="s">
        <v>235</v>
      </c>
      <c r="D47" s="182" t="s">
        <v>239</v>
      </c>
      <c r="E47" s="169">
        <f t="shared" si="9"/>
        <v>0</v>
      </c>
      <c r="F47" s="169"/>
      <c r="G47" s="169"/>
      <c r="H47" s="169"/>
      <c r="I47" s="169"/>
      <c r="J47" s="138">
        <f>L47+O47</f>
        <v>0</v>
      </c>
      <c r="K47" s="138"/>
      <c r="L47" s="169"/>
      <c r="M47" s="169"/>
      <c r="N47" s="169"/>
      <c r="O47" s="138"/>
      <c r="P47" s="138">
        <f t="shared" si="6"/>
        <v>0</v>
      </c>
      <c r="R47" s="134">
        <f>K47-O47</f>
        <v>0</v>
      </c>
      <c r="S47" s="135">
        <f>O47-K47</f>
        <v>0</v>
      </c>
    </row>
    <row r="48" spans="1:19" s="7" customFormat="1" ht="29.25" hidden="1" customHeight="1" x14ac:dyDescent="0.25">
      <c r="A48" s="140" t="s">
        <v>240</v>
      </c>
      <c r="B48" s="140" t="s">
        <v>241</v>
      </c>
      <c r="C48" s="141" t="s">
        <v>242</v>
      </c>
      <c r="D48" s="142" t="s">
        <v>243</v>
      </c>
      <c r="E48" s="423">
        <f t="shared" si="9"/>
        <v>0</v>
      </c>
      <c r="F48" s="423"/>
      <c r="G48" s="423"/>
      <c r="H48" s="423"/>
      <c r="I48" s="423"/>
      <c r="J48" s="161">
        <f t="shared" si="8"/>
        <v>0</v>
      </c>
      <c r="K48" s="161"/>
      <c r="L48" s="161"/>
      <c r="M48" s="161"/>
      <c r="N48" s="161"/>
      <c r="O48" s="161"/>
      <c r="P48" s="161">
        <f t="shared" si="6"/>
        <v>0</v>
      </c>
      <c r="R48" s="145">
        <f t="shared" si="3"/>
        <v>0</v>
      </c>
      <c r="S48" s="75">
        <f t="shared" si="2"/>
        <v>0</v>
      </c>
    </row>
    <row r="49" spans="1:19" ht="21" hidden="1" customHeight="1" x14ac:dyDescent="0.25">
      <c r="A49" s="136" t="s">
        <v>244</v>
      </c>
      <c r="B49" s="136" t="s">
        <v>245</v>
      </c>
      <c r="C49" s="137" t="s">
        <v>242</v>
      </c>
      <c r="D49" s="183" t="s">
        <v>246</v>
      </c>
      <c r="E49" s="169">
        <f t="shared" si="9"/>
        <v>0</v>
      </c>
      <c r="F49" s="413"/>
      <c r="G49" s="413"/>
      <c r="H49" s="169"/>
      <c r="I49" s="169"/>
      <c r="J49" s="138">
        <f t="shared" si="8"/>
        <v>0</v>
      </c>
      <c r="K49" s="138"/>
      <c r="L49" s="138"/>
      <c r="M49" s="138"/>
      <c r="N49" s="138"/>
      <c r="O49" s="138"/>
      <c r="P49" s="169">
        <f t="shared" si="6"/>
        <v>0</v>
      </c>
      <c r="R49" s="134">
        <f t="shared" si="3"/>
        <v>0</v>
      </c>
      <c r="S49" s="135">
        <f t="shared" si="2"/>
        <v>0</v>
      </c>
    </row>
    <row r="50" spans="1:19" s="7" customFormat="1" ht="24" hidden="1" customHeight="1" x14ac:dyDescent="0.25">
      <c r="A50" s="140" t="s">
        <v>247</v>
      </c>
      <c r="B50" s="140" t="s">
        <v>248</v>
      </c>
      <c r="C50" s="141" t="s">
        <v>242</v>
      </c>
      <c r="D50" s="142" t="s">
        <v>249</v>
      </c>
      <c r="E50" s="413">
        <f t="shared" si="9"/>
        <v>0</v>
      </c>
      <c r="F50" s="413"/>
      <c r="G50" s="413"/>
      <c r="H50" s="413"/>
      <c r="I50" s="413"/>
      <c r="J50" s="143">
        <f t="shared" si="8"/>
        <v>0</v>
      </c>
      <c r="K50" s="413"/>
      <c r="L50" s="413"/>
      <c r="M50" s="413"/>
      <c r="N50" s="413"/>
      <c r="O50" s="413"/>
      <c r="P50" s="413">
        <f t="shared" si="6"/>
        <v>0</v>
      </c>
      <c r="R50" s="145">
        <f t="shared" si="3"/>
        <v>0</v>
      </c>
      <c r="S50" s="75">
        <f t="shared" si="2"/>
        <v>0</v>
      </c>
    </row>
    <row r="51" spans="1:19" s="7" customFormat="1" ht="39.75" hidden="1" customHeight="1" x14ac:dyDescent="0.25">
      <c r="A51" s="140" t="s">
        <v>250</v>
      </c>
      <c r="B51" s="140" t="s">
        <v>251</v>
      </c>
      <c r="C51" s="141" t="s">
        <v>242</v>
      </c>
      <c r="D51" s="184" t="s">
        <v>252</v>
      </c>
      <c r="E51" s="413">
        <f t="shared" si="9"/>
        <v>0</v>
      </c>
      <c r="F51" s="413"/>
      <c r="G51" s="413"/>
      <c r="H51" s="413"/>
      <c r="I51" s="413"/>
      <c r="J51" s="143">
        <f t="shared" si="8"/>
        <v>0</v>
      </c>
      <c r="K51" s="413"/>
      <c r="L51" s="413"/>
      <c r="M51" s="413"/>
      <c r="N51" s="413"/>
      <c r="O51" s="413"/>
      <c r="P51" s="413">
        <f t="shared" si="6"/>
        <v>0</v>
      </c>
      <c r="R51" s="145">
        <f t="shared" si="3"/>
        <v>0</v>
      </c>
      <c r="S51" s="75"/>
    </row>
    <row r="52" spans="1:19" s="7" customFormat="1" ht="42" hidden="1" customHeight="1" x14ac:dyDescent="0.25">
      <c r="A52" s="140" t="s">
        <v>253</v>
      </c>
      <c r="B52" s="140" t="s">
        <v>254</v>
      </c>
      <c r="C52" s="141" t="s">
        <v>242</v>
      </c>
      <c r="D52" s="154" t="s">
        <v>255</v>
      </c>
      <c r="E52" s="423">
        <f t="shared" si="9"/>
        <v>0</v>
      </c>
      <c r="F52" s="423"/>
      <c r="G52" s="423"/>
      <c r="H52" s="423"/>
      <c r="I52" s="423"/>
      <c r="J52" s="161">
        <f t="shared" si="8"/>
        <v>0</v>
      </c>
      <c r="K52" s="423"/>
      <c r="L52" s="423"/>
      <c r="M52" s="423"/>
      <c r="N52" s="423"/>
      <c r="O52" s="423"/>
      <c r="P52" s="423">
        <f t="shared" si="6"/>
        <v>0</v>
      </c>
      <c r="R52" s="145">
        <f t="shared" si="3"/>
        <v>0</v>
      </c>
      <c r="S52" s="75">
        <f t="shared" si="2"/>
        <v>0</v>
      </c>
    </row>
    <row r="53" spans="1:19" s="7" customFormat="1" ht="42" hidden="1" customHeight="1" x14ac:dyDescent="0.25">
      <c r="A53" s="140" t="s">
        <v>256</v>
      </c>
      <c r="B53" s="140" t="s">
        <v>257</v>
      </c>
      <c r="C53" s="141" t="s">
        <v>242</v>
      </c>
      <c r="D53" s="154" t="s">
        <v>258</v>
      </c>
      <c r="E53" s="413">
        <f t="shared" si="9"/>
        <v>0</v>
      </c>
      <c r="F53" s="413"/>
      <c r="G53" s="413"/>
      <c r="H53" s="413"/>
      <c r="I53" s="413"/>
      <c r="J53" s="143">
        <f>L53+O53</f>
        <v>0</v>
      </c>
      <c r="K53" s="413"/>
      <c r="L53" s="413"/>
      <c r="M53" s="413"/>
      <c r="N53" s="413"/>
      <c r="O53" s="413"/>
      <c r="P53" s="413">
        <f t="shared" si="6"/>
        <v>0</v>
      </c>
      <c r="R53" s="145"/>
      <c r="S53" s="75"/>
    </row>
    <row r="54" spans="1:19" s="7" customFormat="1" ht="63" hidden="1" x14ac:dyDescent="0.25">
      <c r="A54" s="140" t="s">
        <v>259</v>
      </c>
      <c r="B54" s="140" t="s">
        <v>260</v>
      </c>
      <c r="C54" s="141" t="s">
        <v>242</v>
      </c>
      <c r="D54" s="154" t="s">
        <v>261</v>
      </c>
      <c r="E54" s="413">
        <f>E55+E56+E57</f>
        <v>0</v>
      </c>
      <c r="F54" s="413"/>
      <c r="G54" s="413"/>
      <c r="H54" s="413"/>
      <c r="I54" s="413"/>
      <c r="J54" s="143"/>
      <c r="K54" s="413"/>
      <c r="L54" s="413"/>
      <c r="M54" s="413"/>
      <c r="N54" s="413"/>
      <c r="O54" s="413"/>
      <c r="P54" s="413">
        <f t="shared" si="6"/>
        <v>0</v>
      </c>
      <c r="R54" s="145"/>
      <c r="S54" s="75"/>
    </row>
    <row r="55" spans="1:19" s="7" customFormat="1" ht="47.25" hidden="1" x14ac:dyDescent="0.25">
      <c r="A55" s="140"/>
      <c r="B55" s="140"/>
      <c r="C55" s="141"/>
      <c r="D55" s="176" t="s">
        <v>262</v>
      </c>
      <c r="E55" s="425">
        <f>F55</f>
        <v>0</v>
      </c>
      <c r="F55" s="425"/>
      <c r="G55" s="425"/>
      <c r="H55" s="425"/>
      <c r="I55" s="425"/>
      <c r="J55" s="426"/>
      <c r="K55" s="425"/>
      <c r="L55" s="425"/>
      <c r="M55" s="425"/>
      <c r="N55" s="425"/>
      <c r="O55" s="425"/>
      <c r="P55" s="425">
        <f t="shared" si="6"/>
        <v>0</v>
      </c>
      <c r="R55" s="145"/>
      <c r="S55" s="75"/>
    </row>
    <row r="56" spans="1:19" s="7" customFormat="1" ht="42" hidden="1" customHeight="1" x14ac:dyDescent="0.25">
      <c r="A56" s="140"/>
      <c r="B56" s="140"/>
      <c r="C56" s="141"/>
      <c r="D56" s="176" t="s">
        <v>263</v>
      </c>
      <c r="E56" s="425">
        <f>F56</f>
        <v>0</v>
      </c>
      <c r="F56" s="425"/>
      <c r="G56" s="425"/>
      <c r="H56" s="425"/>
      <c r="I56" s="425"/>
      <c r="J56" s="426"/>
      <c r="K56" s="425"/>
      <c r="L56" s="425"/>
      <c r="M56" s="425"/>
      <c r="N56" s="425"/>
      <c r="O56" s="425"/>
      <c r="P56" s="425">
        <f t="shared" si="6"/>
        <v>0</v>
      </c>
      <c r="R56" s="145"/>
      <c r="S56" s="75"/>
    </row>
    <row r="57" spans="1:19" s="7" customFormat="1" ht="42" hidden="1" customHeight="1" x14ac:dyDescent="0.25">
      <c r="A57" s="140"/>
      <c r="B57" s="140"/>
      <c r="C57" s="141"/>
      <c r="D57" s="176" t="s">
        <v>264</v>
      </c>
      <c r="E57" s="425">
        <f>F57</f>
        <v>0</v>
      </c>
      <c r="F57" s="425"/>
      <c r="G57" s="425"/>
      <c r="H57" s="425"/>
      <c r="I57" s="425"/>
      <c r="J57" s="426"/>
      <c r="K57" s="425"/>
      <c r="L57" s="425"/>
      <c r="M57" s="425"/>
      <c r="N57" s="425"/>
      <c r="O57" s="425"/>
      <c r="P57" s="425">
        <f t="shared" si="6"/>
        <v>0</v>
      </c>
      <c r="R57" s="145"/>
      <c r="S57" s="75"/>
    </row>
    <row r="58" spans="1:19" s="7" customFormat="1" ht="63" hidden="1" x14ac:dyDescent="0.25">
      <c r="A58" s="140" t="s">
        <v>265</v>
      </c>
      <c r="B58" s="140" t="s">
        <v>266</v>
      </c>
      <c r="C58" s="141" t="s">
        <v>242</v>
      </c>
      <c r="D58" s="154" t="s">
        <v>267</v>
      </c>
      <c r="E58" s="413">
        <f>F58</f>
        <v>0</v>
      </c>
      <c r="F58" s="413">
        <f>F59</f>
        <v>0</v>
      </c>
      <c r="G58" s="413">
        <f t="shared" ref="G58:O58" si="10">G59</f>
        <v>0</v>
      </c>
      <c r="H58" s="413">
        <f t="shared" si="10"/>
        <v>0</v>
      </c>
      <c r="I58" s="413">
        <f t="shared" si="10"/>
        <v>0</v>
      </c>
      <c r="J58" s="413">
        <f t="shared" si="10"/>
        <v>0</v>
      </c>
      <c r="K58" s="413">
        <f t="shared" si="10"/>
        <v>0</v>
      </c>
      <c r="L58" s="413">
        <f t="shared" si="10"/>
        <v>0</v>
      </c>
      <c r="M58" s="413">
        <f t="shared" si="10"/>
        <v>0</v>
      </c>
      <c r="N58" s="413">
        <f t="shared" si="10"/>
        <v>0</v>
      </c>
      <c r="O58" s="413">
        <f t="shared" si="10"/>
        <v>0</v>
      </c>
      <c r="P58" s="413">
        <f t="shared" si="6"/>
        <v>0</v>
      </c>
      <c r="R58" s="145"/>
      <c r="S58" s="75"/>
    </row>
    <row r="59" spans="1:19" s="7" customFormat="1" ht="24" hidden="1" customHeight="1" x14ac:dyDescent="0.25">
      <c r="A59" s="140"/>
      <c r="B59" s="140"/>
      <c r="C59" s="141"/>
      <c r="D59" s="176" t="s">
        <v>268</v>
      </c>
      <c r="E59" s="425">
        <f>F59</f>
        <v>0</v>
      </c>
      <c r="F59" s="425"/>
      <c r="G59" s="425"/>
      <c r="H59" s="425"/>
      <c r="I59" s="425"/>
      <c r="J59" s="426"/>
      <c r="K59" s="425"/>
      <c r="L59" s="425"/>
      <c r="M59" s="425"/>
      <c r="N59" s="425"/>
      <c r="O59" s="425"/>
      <c r="P59" s="425">
        <f t="shared" si="6"/>
        <v>0</v>
      </c>
      <c r="R59" s="145"/>
      <c r="S59" s="75"/>
    </row>
    <row r="60" spans="1:19" s="7" customFormat="1" ht="62.25" hidden="1" customHeight="1" x14ac:dyDescent="0.25">
      <c r="A60" s="140" t="s">
        <v>269</v>
      </c>
      <c r="B60" s="140" t="s">
        <v>270</v>
      </c>
      <c r="C60" s="141" t="s">
        <v>242</v>
      </c>
      <c r="D60" s="142" t="s">
        <v>271</v>
      </c>
      <c r="E60" s="423">
        <f>F60+I60</f>
        <v>0</v>
      </c>
      <c r="F60" s="423"/>
      <c r="G60" s="423"/>
      <c r="H60" s="423"/>
      <c r="I60" s="423"/>
      <c r="J60" s="161">
        <f>L60+O60</f>
        <v>0</v>
      </c>
      <c r="K60" s="161"/>
      <c r="L60" s="161"/>
      <c r="M60" s="161"/>
      <c r="N60" s="161"/>
      <c r="O60" s="161"/>
      <c r="P60" s="161">
        <f t="shared" si="6"/>
        <v>0</v>
      </c>
      <c r="R60" s="145">
        <f t="shared" si="3"/>
        <v>0</v>
      </c>
      <c r="S60" s="75"/>
    </row>
    <row r="61" spans="1:19" s="144" customFormat="1" ht="39" hidden="1" customHeight="1" x14ac:dyDescent="0.25">
      <c r="A61" s="140" t="s">
        <v>272</v>
      </c>
      <c r="B61" s="140" t="s">
        <v>273</v>
      </c>
      <c r="C61" s="141" t="s">
        <v>173</v>
      </c>
      <c r="D61" s="142" t="s">
        <v>274</v>
      </c>
      <c r="E61" s="423">
        <f>F61+I61</f>
        <v>0</v>
      </c>
      <c r="F61" s="423"/>
      <c r="G61" s="423"/>
      <c r="H61" s="423"/>
      <c r="I61" s="423"/>
      <c r="J61" s="423"/>
      <c r="K61" s="161"/>
      <c r="L61" s="161"/>
      <c r="M61" s="161"/>
      <c r="N61" s="161"/>
      <c r="O61" s="161"/>
      <c r="P61" s="161">
        <f t="shared" si="6"/>
        <v>0</v>
      </c>
      <c r="R61" s="145">
        <f t="shared" si="3"/>
        <v>0</v>
      </c>
      <c r="S61" s="75">
        <f t="shared" si="2"/>
        <v>0</v>
      </c>
    </row>
    <row r="62" spans="1:19" s="144" customFormat="1" ht="60" hidden="1" customHeight="1" x14ac:dyDescent="0.25">
      <c r="A62" s="140" t="s">
        <v>275</v>
      </c>
      <c r="B62" s="140" t="s">
        <v>276</v>
      </c>
      <c r="C62" s="185">
        <v>1040</v>
      </c>
      <c r="D62" s="159" t="s">
        <v>277</v>
      </c>
      <c r="E62" s="413">
        <f>F62+I62</f>
        <v>0</v>
      </c>
      <c r="F62" s="413"/>
      <c r="G62" s="413"/>
      <c r="H62" s="413"/>
      <c r="I62" s="413"/>
      <c r="J62" s="143">
        <f t="shared" ref="J62:J67" si="11">L62+O62</f>
        <v>0</v>
      </c>
      <c r="K62" s="143"/>
      <c r="L62" s="143"/>
      <c r="M62" s="143"/>
      <c r="N62" s="143"/>
      <c r="O62" s="143"/>
      <c r="P62" s="143">
        <f t="shared" si="6"/>
        <v>0</v>
      </c>
      <c r="R62" s="145">
        <f t="shared" si="3"/>
        <v>0</v>
      </c>
      <c r="S62" s="75">
        <f t="shared" si="2"/>
        <v>0</v>
      </c>
    </row>
    <row r="63" spans="1:19" ht="30.75" hidden="1" customHeight="1" x14ac:dyDescent="0.25">
      <c r="A63" s="136" t="s">
        <v>278</v>
      </c>
      <c r="B63" s="136" t="s">
        <v>279</v>
      </c>
      <c r="C63" s="137" t="s">
        <v>280</v>
      </c>
      <c r="D63" s="170" t="s">
        <v>281</v>
      </c>
      <c r="E63" s="138">
        <f>F63</f>
        <v>0</v>
      </c>
      <c r="F63" s="138"/>
      <c r="G63" s="138"/>
      <c r="H63" s="138"/>
      <c r="I63" s="138"/>
      <c r="J63" s="138">
        <f t="shared" si="11"/>
        <v>0</v>
      </c>
      <c r="K63" s="138"/>
      <c r="L63" s="138"/>
      <c r="M63" s="138"/>
      <c r="N63" s="138"/>
      <c r="O63" s="138"/>
      <c r="P63" s="138">
        <f t="shared" si="6"/>
        <v>0</v>
      </c>
      <c r="R63" s="134">
        <f>K63-O63</f>
        <v>0</v>
      </c>
      <c r="S63" s="135">
        <f>O63-K63</f>
        <v>0</v>
      </c>
    </row>
    <row r="64" spans="1:19" ht="30.75" hidden="1" customHeight="1" x14ac:dyDescent="0.25">
      <c r="A64" s="136" t="s">
        <v>282</v>
      </c>
      <c r="B64" s="136" t="s">
        <v>283</v>
      </c>
      <c r="C64" s="137" t="s">
        <v>284</v>
      </c>
      <c r="D64" s="182" t="s">
        <v>285</v>
      </c>
      <c r="E64" s="169">
        <f t="shared" ref="E64:E87" si="12">F64+I64</f>
        <v>0</v>
      </c>
      <c r="F64" s="169"/>
      <c r="G64" s="169"/>
      <c r="H64" s="169"/>
      <c r="I64" s="169"/>
      <c r="J64" s="138">
        <f t="shared" si="11"/>
        <v>0</v>
      </c>
      <c r="K64" s="138"/>
      <c r="L64" s="169"/>
      <c r="M64" s="169"/>
      <c r="N64" s="169"/>
      <c r="O64" s="138"/>
      <c r="P64" s="138">
        <f t="shared" si="6"/>
        <v>0</v>
      </c>
      <c r="R64" s="134">
        <f>K64-O64</f>
        <v>0</v>
      </c>
      <c r="S64" s="135">
        <f>O64-K64</f>
        <v>0</v>
      </c>
    </row>
    <row r="65" spans="1:19" ht="42.75" hidden="1" customHeight="1" x14ac:dyDescent="0.25">
      <c r="A65" s="136" t="s">
        <v>286</v>
      </c>
      <c r="B65" s="136" t="s">
        <v>287</v>
      </c>
      <c r="C65" s="137" t="s">
        <v>288</v>
      </c>
      <c r="D65" s="182" t="s">
        <v>289</v>
      </c>
      <c r="E65" s="169">
        <f t="shared" si="12"/>
        <v>0</v>
      </c>
      <c r="F65" s="169"/>
      <c r="G65" s="169"/>
      <c r="H65" s="169"/>
      <c r="I65" s="169"/>
      <c r="J65" s="138">
        <f t="shared" si="11"/>
        <v>0</v>
      </c>
      <c r="K65" s="138"/>
      <c r="L65" s="169"/>
      <c r="M65" s="169"/>
      <c r="N65" s="169"/>
      <c r="O65" s="138"/>
      <c r="P65" s="138">
        <f t="shared" si="6"/>
        <v>0</v>
      </c>
      <c r="R65" s="134">
        <f>K65-O65</f>
        <v>0</v>
      </c>
      <c r="S65" s="135">
        <f>O65-K65</f>
        <v>0</v>
      </c>
    </row>
    <row r="66" spans="1:19" ht="30.75" hidden="1" customHeight="1" x14ac:dyDescent="0.25">
      <c r="A66" s="136" t="s">
        <v>290</v>
      </c>
      <c r="B66" s="136" t="s">
        <v>291</v>
      </c>
      <c r="C66" s="137" t="s">
        <v>292</v>
      </c>
      <c r="D66" s="186" t="s">
        <v>293</v>
      </c>
      <c r="E66" s="169">
        <f t="shared" si="12"/>
        <v>0</v>
      </c>
      <c r="F66" s="169"/>
      <c r="G66" s="169"/>
      <c r="H66" s="169"/>
      <c r="I66" s="169"/>
      <c r="J66" s="138">
        <f t="shared" si="11"/>
        <v>0</v>
      </c>
      <c r="K66" s="169"/>
      <c r="L66" s="169"/>
      <c r="M66" s="169"/>
      <c r="N66" s="169"/>
      <c r="O66" s="169"/>
      <c r="P66" s="138">
        <f t="shared" si="6"/>
        <v>0</v>
      </c>
      <c r="R66" s="134">
        <f>K66-O66</f>
        <v>0</v>
      </c>
      <c r="S66" s="135">
        <f>O66-K66</f>
        <v>0</v>
      </c>
    </row>
    <row r="67" spans="1:19" s="144" customFormat="1" ht="31.5" hidden="1" x14ac:dyDescent="0.25">
      <c r="A67" s="140" t="s">
        <v>294</v>
      </c>
      <c r="B67" s="140" t="s">
        <v>295</v>
      </c>
      <c r="C67" s="141" t="s">
        <v>296</v>
      </c>
      <c r="D67" s="160" t="s">
        <v>297</v>
      </c>
      <c r="E67" s="143">
        <f t="shared" si="12"/>
        <v>0</v>
      </c>
      <c r="F67" s="143"/>
      <c r="G67" s="143"/>
      <c r="H67" s="143"/>
      <c r="I67" s="143"/>
      <c r="J67" s="143">
        <f t="shared" si="11"/>
        <v>0</v>
      </c>
      <c r="K67" s="143"/>
      <c r="L67" s="143"/>
      <c r="M67" s="143"/>
      <c r="N67" s="143"/>
      <c r="O67" s="143"/>
      <c r="P67" s="143">
        <f t="shared" si="6"/>
        <v>0</v>
      </c>
      <c r="R67" s="145">
        <f t="shared" si="3"/>
        <v>0</v>
      </c>
      <c r="S67" s="75">
        <f t="shared" si="2"/>
        <v>0</v>
      </c>
    </row>
    <row r="68" spans="1:19" s="144" customFormat="1" ht="36.75" hidden="1" customHeight="1" x14ac:dyDescent="0.25">
      <c r="A68" s="140" t="s">
        <v>298</v>
      </c>
      <c r="B68" s="140" t="s">
        <v>299</v>
      </c>
      <c r="C68" s="141" t="s">
        <v>296</v>
      </c>
      <c r="D68" s="160" t="s">
        <v>300</v>
      </c>
      <c r="E68" s="143">
        <f t="shared" si="12"/>
        <v>0</v>
      </c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>
        <f t="shared" si="6"/>
        <v>0</v>
      </c>
      <c r="R68" s="145">
        <f t="shared" si="3"/>
        <v>0</v>
      </c>
      <c r="S68" s="75">
        <f t="shared" si="2"/>
        <v>0</v>
      </c>
    </row>
    <row r="69" spans="1:19" s="139" customFormat="1" ht="37.5" hidden="1" customHeight="1" x14ac:dyDescent="0.25">
      <c r="A69" s="136" t="s">
        <v>301</v>
      </c>
      <c r="B69" s="136" t="s">
        <v>302</v>
      </c>
      <c r="C69" s="137" t="s">
        <v>296</v>
      </c>
      <c r="D69" s="182" t="s">
        <v>303</v>
      </c>
      <c r="E69" s="138">
        <f t="shared" si="12"/>
        <v>0</v>
      </c>
      <c r="F69" s="169"/>
      <c r="G69" s="169"/>
      <c r="H69" s="169"/>
      <c r="I69" s="169"/>
      <c r="J69" s="138">
        <f>L69+O69</f>
        <v>0</v>
      </c>
      <c r="K69" s="138"/>
      <c r="L69" s="169"/>
      <c r="M69" s="169"/>
      <c r="N69" s="169"/>
      <c r="O69" s="138"/>
      <c r="P69" s="138">
        <f>E69+J69</f>
        <v>0</v>
      </c>
      <c r="R69" s="134">
        <f t="shared" si="3"/>
        <v>0</v>
      </c>
      <c r="S69" s="135">
        <f t="shared" si="2"/>
        <v>0</v>
      </c>
    </row>
    <row r="70" spans="1:19" s="144" customFormat="1" ht="37.5" hidden="1" customHeight="1" x14ac:dyDescent="0.25">
      <c r="A70" s="140" t="s">
        <v>304</v>
      </c>
      <c r="B70" s="140" t="s">
        <v>305</v>
      </c>
      <c r="C70" s="141" t="s">
        <v>296</v>
      </c>
      <c r="D70" s="142" t="s">
        <v>306</v>
      </c>
      <c r="E70" s="161">
        <f t="shared" si="12"/>
        <v>0</v>
      </c>
      <c r="F70" s="423"/>
      <c r="G70" s="423"/>
      <c r="H70" s="423"/>
      <c r="I70" s="423"/>
      <c r="J70" s="161"/>
      <c r="K70" s="161"/>
      <c r="L70" s="423"/>
      <c r="M70" s="423"/>
      <c r="N70" s="423"/>
      <c r="O70" s="161"/>
      <c r="P70" s="161">
        <f t="shared" si="6"/>
        <v>0</v>
      </c>
      <c r="R70" s="145">
        <f t="shared" si="3"/>
        <v>0</v>
      </c>
      <c r="S70" s="75">
        <f t="shared" si="2"/>
        <v>0</v>
      </c>
    </row>
    <row r="71" spans="1:19" s="124" customFormat="1" ht="42.75" hidden="1" customHeight="1" x14ac:dyDescent="0.25">
      <c r="A71" s="129" t="s">
        <v>307</v>
      </c>
      <c r="B71" s="129" t="s">
        <v>308</v>
      </c>
      <c r="C71" s="130"/>
      <c r="D71" s="131" t="s">
        <v>309</v>
      </c>
      <c r="E71" s="187">
        <f t="shared" si="12"/>
        <v>0</v>
      </c>
      <c r="F71" s="132">
        <f t="shared" ref="F71:O71" si="13">F72</f>
        <v>0</v>
      </c>
      <c r="G71" s="132">
        <f t="shared" si="13"/>
        <v>0</v>
      </c>
      <c r="H71" s="132">
        <f t="shared" si="13"/>
        <v>0</v>
      </c>
      <c r="I71" s="132">
        <f t="shared" si="13"/>
        <v>0</v>
      </c>
      <c r="J71" s="132">
        <f>J72</f>
        <v>0</v>
      </c>
      <c r="K71" s="132">
        <f t="shared" si="13"/>
        <v>0</v>
      </c>
      <c r="L71" s="132">
        <f t="shared" si="13"/>
        <v>0</v>
      </c>
      <c r="M71" s="132">
        <f t="shared" si="13"/>
        <v>0</v>
      </c>
      <c r="N71" s="132">
        <f t="shared" si="13"/>
        <v>0</v>
      </c>
      <c r="O71" s="132">
        <f t="shared" si="13"/>
        <v>0</v>
      </c>
      <c r="P71" s="132">
        <f>E71+J71</f>
        <v>0</v>
      </c>
      <c r="R71" s="134">
        <f t="shared" si="3"/>
        <v>0</v>
      </c>
      <c r="S71" s="135">
        <f t="shared" si="2"/>
        <v>0</v>
      </c>
    </row>
    <row r="72" spans="1:19" s="124" customFormat="1" ht="41.25" hidden="1" customHeight="1" x14ac:dyDescent="0.25">
      <c r="A72" s="129" t="s">
        <v>310</v>
      </c>
      <c r="B72" s="129"/>
      <c r="C72" s="130"/>
      <c r="D72" s="188" t="s">
        <v>311</v>
      </c>
      <c r="E72" s="187">
        <f t="shared" si="12"/>
        <v>0</v>
      </c>
      <c r="F72" s="132">
        <f>SUM(F73:F83)</f>
        <v>0</v>
      </c>
      <c r="G72" s="132">
        <f>SUM(G73:G83)</f>
        <v>0</v>
      </c>
      <c r="H72" s="132">
        <f>SUM(H73:H83)</f>
        <v>0</v>
      </c>
      <c r="I72" s="132">
        <f>SUM(I73:I83)</f>
        <v>0</v>
      </c>
      <c r="J72" s="132">
        <f>L72+O72</f>
        <v>0</v>
      </c>
      <c r="K72" s="132">
        <f>SUM(K73:K83)</f>
        <v>0</v>
      </c>
      <c r="L72" s="132">
        <f>SUM(L73:L83)</f>
        <v>0</v>
      </c>
      <c r="M72" s="132">
        <f>SUM(M73:M83)</f>
        <v>0</v>
      </c>
      <c r="N72" s="132">
        <f>SUM(N73:N83)</f>
        <v>0</v>
      </c>
      <c r="O72" s="132">
        <f>SUM(O73:O83)</f>
        <v>0</v>
      </c>
      <c r="P72" s="132">
        <f>E72+J72</f>
        <v>0</v>
      </c>
      <c r="R72" s="134">
        <f t="shared" si="3"/>
        <v>0</v>
      </c>
      <c r="S72" s="135">
        <f t="shared" si="2"/>
        <v>0</v>
      </c>
    </row>
    <row r="73" spans="1:19" ht="72" hidden="1" customHeight="1" x14ac:dyDescent="0.25">
      <c r="A73" s="189" t="s">
        <v>312</v>
      </c>
      <c r="B73" s="189" t="s">
        <v>147</v>
      </c>
      <c r="C73" s="190" t="s">
        <v>148</v>
      </c>
      <c r="D73" s="32" t="s">
        <v>149</v>
      </c>
      <c r="E73" s="169">
        <f t="shared" si="12"/>
        <v>0</v>
      </c>
      <c r="F73" s="169"/>
      <c r="G73" s="169"/>
      <c r="H73" s="169"/>
      <c r="I73" s="169"/>
      <c r="J73" s="138">
        <f>L73+O73</f>
        <v>0</v>
      </c>
      <c r="K73" s="138"/>
      <c r="L73" s="138"/>
      <c r="M73" s="138"/>
      <c r="N73" s="138"/>
      <c r="O73" s="138"/>
      <c r="P73" s="138">
        <f t="shared" si="6"/>
        <v>0</v>
      </c>
      <c r="R73" s="134">
        <f t="shared" si="3"/>
        <v>0</v>
      </c>
      <c r="S73" s="135">
        <f t="shared" si="2"/>
        <v>0</v>
      </c>
    </row>
    <row r="74" spans="1:19" ht="62.25" hidden="1" customHeight="1" x14ac:dyDescent="0.25">
      <c r="A74" s="140" t="s">
        <v>313</v>
      </c>
      <c r="B74" s="140" t="s">
        <v>151</v>
      </c>
      <c r="C74" s="141" t="s">
        <v>152</v>
      </c>
      <c r="D74" s="142" t="s">
        <v>153</v>
      </c>
      <c r="E74" s="169">
        <f t="shared" si="12"/>
        <v>0</v>
      </c>
      <c r="F74" s="169"/>
      <c r="G74" s="169"/>
      <c r="H74" s="169"/>
      <c r="I74" s="169"/>
      <c r="J74" s="138"/>
      <c r="K74" s="138"/>
      <c r="L74" s="138"/>
      <c r="M74" s="138"/>
      <c r="N74" s="138"/>
      <c r="O74" s="138"/>
      <c r="P74" s="138">
        <f t="shared" si="6"/>
        <v>0</v>
      </c>
      <c r="R74" s="134"/>
      <c r="S74" s="135"/>
    </row>
    <row r="75" spans="1:19" s="7" customFormat="1" ht="31.5" hidden="1" x14ac:dyDescent="0.25">
      <c r="A75" s="140" t="s">
        <v>314</v>
      </c>
      <c r="B75" s="140" t="s">
        <v>315</v>
      </c>
      <c r="C75" s="141" t="s">
        <v>234</v>
      </c>
      <c r="D75" s="154" t="s">
        <v>316</v>
      </c>
      <c r="E75" s="413">
        <f t="shared" si="12"/>
        <v>0</v>
      </c>
      <c r="F75" s="413"/>
      <c r="G75" s="413"/>
      <c r="H75" s="413"/>
      <c r="I75" s="413"/>
      <c r="J75" s="143"/>
      <c r="K75" s="143"/>
      <c r="L75" s="143"/>
      <c r="M75" s="143"/>
      <c r="N75" s="143"/>
      <c r="O75" s="143"/>
      <c r="P75" s="143">
        <f t="shared" si="6"/>
        <v>0</v>
      </c>
      <c r="R75" s="145">
        <f t="shared" si="3"/>
        <v>0</v>
      </c>
      <c r="S75" s="75">
        <f t="shared" si="2"/>
        <v>0</v>
      </c>
    </row>
    <row r="76" spans="1:19" s="7" customFormat="1" ht="37.5" hidden="1" customHeight="1" x14ac:dyDescent="0.25">
      <c r="A76" s="140" t="s">
        <v>317</v>
      </c>
      <c r="B76" s="140" t="s">
        <v>318</v>
      </c>
      <c r="C76" s="141" t="s">
        <v>234</v>
      </c>
      <c r="D76" s="142" t="s">
        <v>319</v>
      </c>
      <c r="E76" s="413">
        <f t="shared" si="12"/>
        <v>0</v>
      </c>
      <c r="F76" s="413"/>
      <c r="G76" s="143"/>
      <c r="H76" s="143"/>
      <c r="I76" s="143"/>
      <c r="J76" s="143">
        <f>L76+O76</f>
        <v>0</v>
      </c>
      <c r="K76" s="143"/>
      <c r="L76" s="143"/>
      <c r="M76" s="143"/>
      <c r="N76" s="143"/>
      <c r="O76" s="143"/>
      <c r="P76" s="143">
        <f>E76+J76</f>
        <v>0</v>
      </c>
      <c r="R76" s="145">
        <f t="shared" si="3"/>
        <v>0</v>
      </c>
      <c r="S76" s="75">
        <f t="shared" si="2"/>
        <v>0</v>
      </c>
    </row>
    <row r="77" spans="1:19" s="7" customFormat="1" ht="48.75" hidden="1" customHeight="1" x14ac:dyDescent="0.25">
      <c r="A77" s="140" t="s">
        <v>320</v>
      </c>
      <c r="B77" s="140" t="s">
        <v>321</v>
      </c>
      <c r="C77" s="141" t="s">
        <v>234</v>
      </c>
      <c r="D77" s="142" t="s">
        <v>322</v>
      </c>
      <c r="E77" s="413">
        <f t="shared" si="12"/>
        <v>0</v>
      </c>
      <c r="F77" s="413"/>
      <c r="G77" s="143"/>
      <c r="H77" s="143"/>
      <c r="I77" s="143"/>
      <c r="J77" s="143"/>
      <c r="K77" s="143"/>
      <c r="L77" s="143"/>
      <c r="M77" s="143"/>
      <c r="N77" s="143"/>
      <c r="O77" s="143"/>
      <c r="P77" s="143">
        <f>E77+J77</f>
        <v>0</v>
      </c>
      <c r="R77" s="145">
        <f t="shared" si="3"/>
        <v>0</v>
      </c>
      <c r="S77" s="75">
        <f t="shared" si="2"/>
        <v>0</v>
      </c>
    </row>
    <row r="78" spans="1:19" s="7" customFormat="1" ht="47.25" hidden="1" x14ac:dyDescent="0.25">
      <c r="A78" s="140" t="s">
        <v>323</v>
      </c>
      <c r="B78" s="140" t="s">
        <v>324</v>
      </c>
      <c r="C78" s="141" t="s">
        <v>325</v>
      </c>
      <c r="D78" s="142" t="s">
        <v>326</v>
      </c>
      <c r="E78" s="413">
        <f t="shared" si="12"/>
        <v>0</v>
      </c>
      <c r="F78" s="413"/>
      <c r="G78" s="143"/>
      <c r="H78" s="143"/>
      <c r="I78" s="143"/>
      <c r="J78" s="143"/>
      <c r="K78" s="143"/>
      <c r="L78" s="143"/>
      <c r="M78" s="143"/>
      <c r="N78" s="143"/>
      <c r="O78" s="143"/>
      <c r="P78" s="143">
        <f>E78+J78</f>
        <v>0</v>
      </c>
      <c r="R78" s="145">
        <f t="shared" si="3"/>
        <v>0</v>
      </c>
      <c r="S78" s="75">
        <f t="shared" si="2"/>
        <v>0</v>
      </c>
    </row>
    <row r="79" spans="1:19" s="7" customFormat="1" ht="79.5" hidden="1" customHeight="1" x14ac:dyDescent="0.25">
      <c r="A79" s="140" t="s">
        <v>327</v>
      </c>
      <c r="B79" s="140" t="s">
        <v>328</v>
      </c>
      <c r="C79" s="141" t="s">
        <v>217</v>
      </c>
      <c r="D79" s="142" t="s">
        <v>329</v>
      </c>
      <c r="E79" s="413">
        <f t="shared" si="12"/>
        <v>0</v>
      </c>
      <c r="F79" s="413"/>
      <c r="G79" s="413"/>
      <c r="H79" s="413"/>
      <c r="I79" s="413"/>
      <c r="J79" s="413"/>
      <c r="K79" s="413"/>
      <c r="L79" s="413"/>
      <c r="M79" s="413"/>
      <c r="N79" s="413"/>
      <c r="O79" s="413"/>
      <c r="P79" s="143">
        <f t="shared" ref="P79:P136" si="14">E79+J79</f>
        <v>0</v>
      </c>
      <c r="R79" s="145">
        <f t="shared" si="3"/>
        <v>0</v>
      </c>
      <c r="S79" s="75">
        <f t="shared" si="2"/>
        <v>0</v>
      </c>
    </row>
    <row r="80" spans="1:19" s="7" customFormat="1" ht="28.5" hidden="1" customHeight="1" x14ac:dyDescent="0.25">
      <c r="A80" s="140" t="s">
        <v>330</v>
      </c>
      <c r="B80" s="140" t="s">
        <v>176</v>
      </c>
      <c r="C80" s="141" t="s">
        <v>177</v>
      </c>
      <c r="D80" s="142" t="s">
        <v>178</v>
      </c>
      <c r="E80" s="423">
        <f t="shared" si="12"/>
        <v>0</v>
      </c>
      <c r="F80" s="423"/>
      <c r="G80" s="161"/>
      <c r="H80" s="161"/>
      <c r="I80" s="161"/>
      <c r="J80" s="161">
        <f>L80+O80</f>
        <v>0</v>
      </c>
      <c r="K80" s="161"/>
      <c r="L80" s="161"/>
      <c r="M80" s="161"/>
      <c r="N80" s="161"/>
      <c r="O80" s="161"/>
      <c r="P80" s="161">
        <f t="shared" si="14"/>
        <v>0</v>
      </c>
      <c r="R80" s="145">
        <f t="shared" si="3"/>
        <v>0</v>
      </c>
      <c r="S80" s="73">
        <f t="shared" si="2"/>
        <v>0</v>
      </c>
    </row>
    <row r="81" spans="1:19" s="7" customFormat="1" ht="69.75" hidden="1" customHeight="1" x14ac:dyDescent="0.25">
      <c r="A81" s="140" t="s">
        <v>331</v>
      </c>
      <c r="B81" s="140" t="s">
        <v>332</v>
      </c>
      <c r="C81" s="141" t="s">
        <v>234</v>
      </c>
      <c r="D81" s="142" t="s">
        <v>333</v>
      </c>
      <c r="E81" s="413">
        <f t="shared" si="12"/>
        <v>0</v>
      </c>
      <c r="F81" s="413"/>
      <c r="G81" s="143"/>
      <c r="H81" s="143"/>
      <c r="I81" s="143"/>
      <c r="J81" s="143"/>
      <c r="K81" s="143"/>
      <c r="L81" s="143"/>
      <c r="M81" s="143"/>
      <c r="N81" s="143"/>
      <c r="O81" s="143"/>
      <c r="P81" s="143">
        <f>E81+J81</f>
        <v>0</v>
      </c>
      <c r="R81" s="145"/>
      <c r="S81" s="73"/>
    </row>
    <row r="82" spans="1:19" s="7" customFormat="1" ht="42.75" hidden="1" customHeight="1" x14ac:dyDescent="0.25">
      <c r="A82" s="140" t="s">
        <v>334</v>
      </c>
      <c r="B82" s="140" t="s">
        <v>180</v>
      </c>
      <c r="C82" s="141" t="s">
        <v>335</v>
      </c>
      <c r="D82" s="159" t="s">
        <v>182</v>
      </c>
      <c r="E82" s="413">
        <f t="shared" si="12"/>
        <v>0</v>
      </c>
      <c r="F82" s="413"/>
      <c r="G82" s="413"/>
      <c r="H82" s="413"/>
      <c r="I82" s="413"/>
      <c r="J82" s="143">
        <f>L82+O82</f>
        <v>0</v>
      </c>
      <c r="K82" s="413"/>
      <c r="L82" s="413"/>
      <c r="M82" s="413"/>
      <c r="N82" s="413"/>
      <c r="O82" s="413"/>
      <c r="P82" s="143">
        <f>E82+J82</f>
        <v>0</v>
      </c>
      <c r="R82" s="145">
        <f t="shared" si="3"/>
        <v>0</v>
      </c>
      <c r="S82" s="73">
        <f t="shared" si="2"/>
        <v>0</v>
      </c>
    </row>
    <row r="83" spans="1:19" s="7" customFormat="1" ht="94.5" hidden="1" x14ac:dyDescent="0.25">
      <c r="A83" s="140" t="s">
        <v>336</v>
      </c>
      <c r="B83" s="140" t="s">
        <v>195</v>
      </c>
      <c r="C83" s="146" t="s">
        <v>185</v>
      </c>
      <c r="D83" s="429" t="s">
        <v>196</v>
      </c>
      <c r="E83" s="413">
        <f>F83+I83</f>
        <v>0</v>
      </c>
      <c r="F83" s="413"/>
      <c r="G83" s="413"/>
      <c r="H83" s="413"/>
      <c r="I83" s="413"/>
      <c r="J83" s="143">
        <f>L83+O83</f>
        <v>0</v>
      </c>
      <c r="K83" s="413"/>
      <c r="L83" s="413"/>
      <c r="M83" s="413"/>
      <c r="N83" s="413"/>
      <c r="O83" s="413"/>
      <c r="P83" s="143">
        <f>E83+J83</f>
        <v>0</v>
      </c>
      <c r="R83" s="145">
        <f t="shared" si="3"/>
        <v>0</v>
      </c>
      <c r="S83" s="73">
        <f t="shared" si="2"/>
        <v>0</v>
      </c>
    </row>
    <row r="84" spans="1:19" s="124" customFormat="1" ht="36.75" hidden="1" customHeight="1" x14ac:dyDescent="0.25">
      <c r="A84" s="129" t="s">
        <v>692</v>
      </c>
      <c r="B84" s="129" t="s">
        <v>693</v>
      </c>
      <c r="C84" s="130"/>
      <c r="D84" s="131" t="s">
        <v>694</v>
      </c>
      <c r="E84" s="187">
        <f t="shared" si="12"/>
        <v>0</v>
      </c>
      <c r="F84" s="132">
        <f t="shared" ref="F84:O84" si="15">F85</f>
        <v>0</v>
      </c>
      <c r="G84" s="132">
        <f t="shared" si="15"/>
        <v>0</v>
      </c>
      <c r="H84" s="132">
        <f t="shared" si="15"/>
        <v>0</v>
      </c>
      <c r="I84" s="132">
        <f t="shared" si="15"/>
        <v>0</v>
      </c>
      <c r="J84" s="132">
        <f t="shared" si="15"/>
        <v>0</v>
      </c>
      <c r="K84" s="132">
        <f t="shared" si="15"/>
        <v>0</v>
      </c>
      <c r="L84" s="132">
        <f t="shared" si="15"/>
        <v>0</v>
      </c>
      <c r="M84" s="132">
        <f t="shared" si="15"/>
        <v>0</v>
      </c>
      <c r="N84" s="132">
        <f t="shared" si="15"/>
        <v>0</v>
      </c>
      <c r="O84" s="132">
        <f t="shared" si="15"/>
        <v>0</v>
      </c>
      <c r="P84" s="132">
        <f t="shared" si="14"/>
        <v>0</v>
      </c>
      <c r="R84" s="134">
        <f t="shared" si="3"/>
        <v>0</v>
      </c>
      <c r="S84" s="135">
        <f t="shared" si="2"/>
        <v>0</v>
      </c>
    </row>
    <row r="85" spans="1:19" s="124" customFormat="1" ht="45" hidden="1" customHeight="1" x14ac:dyDescent="0.25">
      <c r="A85" s="129" t="s">
        <v>695</v>
      </c>
      <c r="B85" s="129"/>
      <c r="C85" s="130"/>
      <c r="D85" s="131" t="s">
        <v>696</v>
      </c>
      <c r="E85" s="187">
        <f t="shared" si="12"/>
        <v>0</v>
      </c>
      <c r="F85" s="132">
        <f>SUM(F86:F93)</f>
        <v>0</v>
      </c>
      <c r="G85" s="132">
        <f>SUM(G86:G93)</f>
        <v>0</v>
      </c>
      <c r="H85" s="132">
        <f>SUM(H86:H93)</f>
        <v>0</v>
      </c>
      <c r="I85" s="132">
        <f>SUM(I86:I93)</f>
        <v>0</v>
      </c>
      <c r="J85" s="132">
        <f>L85+O85</f>
        <v>0</v>
      </c>
      <c r="K85" s="132">
        <f>SUM(K86:K93)</f>
        <v>0</v>
      </c>
      <c r="L85" s="132">
        <f>SUM(L86:L93)</f>
        <v>0</v>
      </c>
      <c r="M85" s="132">
        <f>SUM(M86:M93)</f>
        <v>0</v>
      </c>
      <c r="N85" s="132">
        <f>SUM(N86:N93)</f>
        <v>0</v>
      </c>
      <c r="O85" s="132">
        <f>SUM(O86:O93)</f>
        <v>0</v>
      </c>
      <c r="P85" s="132">
        <f t="shared" si="14"/>
        <v>0</v>
      </c>
      <c r="R85" s="134">
        <f t="shared" si="3"/>
        <v>0</v>
      </c>
      <c r="S85" s="135">
        <f t="shared" si="2"/>
        <v>0</v>
      </c>
    </row>
    <row r="86" spans="1:19" s="124" customFormat="1" ht="64.5" hidden="1" customHeight="1" x14ac:dyDescent="0.25">
      <c r="A86" s="136" t="s">
        <v>697</v>
      </c>
      <c r="B86" s="136" t="s">
        <v>147</v>
      </c>
      <c r="C86" s="137" t="s">
        <v>148</v>
      </c>
      <c r="D86" s="32" t="s">
        <v>149</v>
      </c>
      <c r="E86" s="169">
        <f t="shared" si="12"/>
        <v>0</v>
      </c>
      <c r="F86" s="138"/>
      <c r="G86" s="138"/>
      <c r="H86" s="132"/>
      <c r="I86" s="132"/>
      <c r="J86" s="138">
        <f>L86+O86</f>
        <v>0</v>
      </c>
      <c r="K86" s="132"/>
      <c r="L86" s="132"/>
      <c r="M86" s="132"/>
      <c r="N86" s="132"/>
      <c r="O86" s="132"/>
      <c r="P86" s="138">
        <f t="shared" si="14"/>
        <v>0</v>
      </c>
      <c r="R86" s="134">
        <f t="shared" si="3"/>
        <v>0</v>
      </c>
      <c r="S86" s="135">
        <f t="shared" si="2"/>
        <v>0</v>
      </c>
    </row>
    <row r="87" spans="1:19" ht="33.75" hidden="1" customHeight="1" x14ac:dyDescent="0.25">
      <c r="A87" s="136" t="s">
        <v>698</v>
      </c>
      <c r="B87" s="136" t="s">
        <v>238</v>
      </c>
      <c r="C87" s="137" t="s">
        <v>235</v>
      </c>
      <c r="D87" s="182" t="s">
        <v>239</v>
      </c>
      <c r="E87" s="169">
        <f t="shared" si="12"/>
        <v>0</v>
      </c>
      <c r="F87" s="169"/>
      <c r="G87" s="169"/>
      <c r="H87" s="169"/>
      <c r="I87" s="169"/>
      <c r="J87" s="138">
        <f>L87+O87</f>
        <v>0</v>
      </c>
      <c r="K87" s="138"/>
      <c r="L87" s="169"/>
      <c r="M87" s="169"/>
      <c r="N87" s="169"/>
      <c r="O87" s="138"/>
      <c r="P87" s="138">
        <f t="shared" si="14"/>
        <v>0</v>
      </c>
      <c r="R87" s="134">
        <f t="shared" si="3"/>
        <v>0</v>
      </c>
      <c r="S87" s="135">
        <f t="shared" si="2"/>
        <v>0</v>
      </c>
    </row>
    <row r="88" spans="1:19" ht="36" hidden="1" customHeight="1" x14ac:dyDescent="0.25">
      <c r="A88" s="136" t="s">
        <v>699</v>
      </c>
      <c r="B88" s="136" t="s">
        <v>279</v>
      </c>
      <c r="C88" s="137" t="s">
        <v>280</v>
      </c>
      <c r="D88" s="170" t="s">
        <v>281</v>
      </c>
      <c r="E88" s="138">
        <f>F88</f>
        <v>0</v>
      </c>
      <c r="F88" s="138"/>
      <c r="G88" s="138"/>
      <c r="H88" s="138"/>
      <c r="I88" s="138"/>
      <c r="J88" s="138">
        <f t="shared" ref="J88:J117" si="16">L88+O88</f>
        <v>0</v>
      </c>
      <c r="K88" s="138"/>
      <c r="L88" s="138"/>
      <c r="M88" s="138"/>
      <c r="N88" s="138"/>
      <c r="O88" s="138"/>
      <c r="P88" s="138">
        <f t="shared" si="14"/>
        <v>0</v>
      </c>
      <c r="R88" s="134">
        <f t="shared" si="3"/>
        <v>0</v>
      </c>
      <c r="S88" s="135">
        <f t="shared" si="2"/>
        <v>0</v>
      </c>
    </row>
    <row r="89" spans="1:19" ht="35.25" hidden="1" customHeight="1" x14ac:dyDescent="0.25">
      <c r="A89" s="136" t="s">
        <v>700</v>
      </c>
      <c r="B89" s="136" t="s">
        <v>283</v>
      </c>
      <c r="C89" s="137" t="s">
        <v>284</v>
      </c>
      <c r="D89" s="182" t="s">
        <v>285</v>
      </c>
      <c r="E89" s="169">
        <f>F89+I89</f>
        <v>0</v>
      </c>
      <c r="F89" s="169"/>
      <c r="G89" s="169"/>
      <c r="H89" s="169"/>
      <c r="I89" s="169"/>
      <c r="J89" s="138">
        <f t="shared" si="16"/>
        <v>0</v>
      </c>
      <c r="K89" s="138"/>
      <c r="L89" s="169"/>
      <c r="M89" s="169"/>
      <c r="N89" s="169"/>
      <c r="O89" s="138"/>
      <c r="P89" s="138">
        <f t="shared" si="14"/>
        <v>0</v>
      </c>
      <c r="R89" s="134">
        <f t="shared" si="3"/>
        <v>0</v>
      </c>
      <c r="S89" s="135">
        <f t="shared" si="2"/>
        <v>0</v>
      </c>
    </row>
    <row r="90" spans="1:19" s="8" customFormat="1" ht="19.5" hidden="1" customHeight="1" x14ac:dyDescent="0.25">
      <c r="A90" s="140" t="s">
        <v>701</v>
      </c>
      <c r="B90" s="140" t="s">
        <v>658</v>
      </c>
      <c r="C90" s="141" t="s">
        <v>284</v>
      </c>
      <c r="D90" s="142" t="s">
        <v>702</v>
      </c>
      <c r="E90" s="423">
        <f>F90+I90</f>
        <v>0</v>
      </c>
      <c r="F90" s="423"/>
      <c r="G90" s="423"/>
      <c r="H90" s="423"/>
      <c r="I90" s="423"/>
      <c r="J90" s="161">
        <f t="shared" si="16"/>
        <v>0</v>
      </c>
      <c r="K90" s="161"/>
      <c r="L90" s="423"/>
      <c r="M90" s="423"/>
      <c r="N90" s="423"/>
      <c r="O90" s="161"/>
      <c r="P90" s="161">
        <f t="shared" si="14"/>
        <v>0</v>
      </c>
      <c r="R90" s="145">
        <f t="shared" si="3"/>
        <v>0</v>
      </c>
      <c r="S90" s="73">
        <f t="shared" si="2"/>
        <v>0</v>
      </c>
    </row>
    <row r="91" spans="1:19" ht="47.25" hidden="1" customHeight="1" x14ac:dyDescent="0.25">
      <c r="A91" s="136" t="s">
        <v>703</v>
      </c>
      <c r="B91" s="136" t="s">
        <v>287</v>
      </c>
      <c r="C91" s="137" t="s">
        <v>288</v>
      </c>
      <c r="D91" s="182" t="s">
        <v>289</v>
      </c>
      <c r="E91" s="169">
        <f>F91+I91</f>
        <v>0</v>
      </c>
      <c r="F91" s="169"/>
      <c r="G91" s="169"/>
      <c r="H91" s="169"/>
      <c r="I91" s="169"/>
      <c r="J91" s="138">
        <f t="shared" si="16"/>
        <v>0</v>
      </c>
      <c r="K91" s="138"/>
      <c r="L91" s="169"/>
      <c r="M91" s="169"/>
      <c r="N91" s="169"/>
      <c r="O91" s="138"/>
      <c r="P91" s="138">
        <f t="shared" si="14"/>
        <v>0</v>
      </c>
      <c r="R91" s="134">
        <f t="shared" si="3"/>
        <v>0</v>
      </c>
      <c r="S91" s="135">
        <f t="shared" si="2"/>
        <v>0</v>
      </c>
    </row>
    <row r="92" spans="1:19" ht="45" hidden="1" customHeight="1" x14ac:dyDescent="0.25">
      <c r="A92" s="136" t="s">
        <v>704</v>
      </c>
      <c r="B92" s="136" t="s">
        <v>705</v>
      </c>
      <c r="C92" s="137" t="s">
        <v>292</v>
      </c>
      <c r="D92" s="32" t="s">
        <v>706</v>
      </c>
      <c r="E92" s="169">
        <f>F92+I92</f>
        <v>0</v>
      </c>
      <c r="F92" s="169"/>
      <c r="G92" s="169"/>
      <c r="H92" s="169">
        <v>0</v>
      </c>
      <c r="I92" s="169"/>
      <c r="J92" s="138">
        <f>L92+O92</f>
        <v>0</v>
      </c>
      <c r="K92" s="138"/>
      <c r="L92" s="169"/>
      <c r="M92" s="169"/>
      <c r="N92" s="169"/>
      <c r="O92" s="138"/>
      <c r="P92" s="138">
        <f t="shared" si="14"/>
        <v>0</v>
      </c>
      <c r="R92" s="134">
        <f t="shared" si="3"/>
        <v>0</v>
      </c>
      <c r="S92" s="135">
        <f t="shared" si="2"/>
        <v>0</v>
      </c>
    </row>
    <row r="93" spans="1:19" ht="24" hidden="1" customHeight="1" x14ac:dyDescent="0.25">
      <c r="A93" s="136" t="s">
        <v>707</v>
      </c>
      <c r="B93" s="136" t="s">
        <v>291</v>
      </c>
      <c r="C93" s="137" t="s">
        <v>292</v>
      </c>
      <c r="D93" s="32" t="s">
        <v>293</v>
      </c>
      <c r="E93" s="169">
        <f>F93+I93</f>
        <v>0</v>
      </c>
      <c r="F93" s="169"/>
      <c r="G93" s="169"/>
      <c r="H93" s="169"/>
      <c r="I93" s="169"/>
      <c r="J93" s="138">
        <f t="shared" si="16"/>
        <v>0</v>
      </c>
      <c r="K93" s="169"/>
      <c r="L93" s="169"/>
      <c r="M93" s="169"/>
      <c r="N93" s="169"/>
      <c r="O93" s="169"/>
      <c r="P93" s="138">
        <f t="shared" si="14"/>
        <v>0</v>
      </c>
      <c r="R93" s="134">
        <f t="shared" si="3"/>
        <v>0</v>
      </c>
      <c r="S93" s="135">
        <f t="shared" si="2"/>
        <v>0</v>
      </c>
    </row>
    <row r="94" spans="1:19" s="124" customFormat="1" ht="46.5" customHeight="1" x14ac:dyDescent="0.25">
      <c r="A94" s="129" t="s">
        <v>337</v>
      </c>
      <c r="B94" s="129" t="s">
        <v>338</v>
      </c>
      <c r="C94" s="130"/>
      <c r="D94" s="131" t="s">
        <v>339</v>
      </c>
      <c r="E94" s="132">
        <f>E95</f>
        <v>0</v>
      </c>
      <c r="F94" s="132">
        <f>F95</f>
        <v>0</v>
      </c>
      <c r="G94" s="132">
        <f>G95</f>
        <v>0</v>
      </c>
      <c r="H94" s="132">
        <f>H95</f>
        <v>0</v>
      </c>
      <c r="I94" s="132">
        <f>I95</f>
        <v>0</v>
      </c>
      <c r="J94" s="187">
        <f t="shared" si="16"/>
        <v>6500000</v>
      </c>
      <c r="K94" s="132">
        <f>K95</f>
        <v>6500000</v>
      </c>
      <c r="L94" s="132">
        <f>L95</f>
        <v>0</v>
      </c>
      <c r="M94" s="132">
        <f>M95</f>
        <v>0</v>
      </c>
      <c r="N94" s="132">
        <f>N95</f>
        <v>0</v>
      </c>
      <c r="O94" s="132">
        <f>O95</f>
        <v>6500000</v>
      </c>
      <c r="P94" s="132">
        <f>E94+J94</f>
        <v>6500000</v>
      </c>
      <c r="Q94" s="124">
        <v>2606165</v>
      </c>
      <c r="R94" s="134">
        <f>Q94+P94</f>
        <v>9106165</v>
      </c>
      <c r="S94" s="135">
        <f t="shared" si="2"/>
        <v>0</v>
      </c>
    </row>
    <row r="95" spans="1:19" s="124" customFormat="1" ht="47.25" customHeight="1" x14ac:dyDescent="0.25">
      <c r="A95" s="129" t="s">
        <v>340</v>
      </c>
      <c r="B95" s="129"/>
      <c r="C95" s="130"/>
      <c r="D95" s="131" t="s">
        <v>341</v>
      </c>
      <c r="E95" s="132">
        <f t="shared" ref="E95:E106" si="17">F95+I95</f>
        <v>0</v>
      </c>
      <c r="F95" s="132">
        <f>SUM(F96:F117)</f>
        <v>0</v>
      </c>
      <c r="G95" s="132">
        <f>SUM(G96:G117)</f>
        <v>0</v>
      </c>
      <c r="H95" s="132">
        <f>SUM(H96:H117)</f>
        <v>0</v>
      </c>
      <c r="I95" s="132">
        <f>SUM(I96:I117)</f>
        <v>0</v>
      </c>
      <c r="J95" s="187">
        <f>L95+O95</f>
        <v>6500000</v>
      </c>
      <c r="K95" s="132">
        <f>SUM(K96:K117)</f>
        <v>6500000</v>
      </c>
      <c r="L95" s="132">
        <f>SUM(L96:L117)</f>
        <v>0</v>
      </c>
      <c r="M95" s="132">
        <f>SUM(M96:M117)</f>
        <v>0</v>
      </c>
      <c r="N95" s="132">
        <f>SUM(N96:N117)</f>
        <v>0</v>
      </c>
      <c r="O95" s="132">
        <f>SUM(O96:O117)</f>
        <v>6500000</v>
      </c>
      <c r="P95" s="132">
        <f>E95+J95</f>
        <v>6500000</v>
      </c>
      <c r="Q95" s="423">
        <v>3759496</v>
      </c>
      <c r="R95" s="134">
        <f t="shared" si="3"/>
        <v>0</v>
      </c>
      <c r="S95" s="135">
        <f t="shared" si="2"/>
        <v>0</v>
      </c>
    </row>
    <row r="96" spans="1:19" ht="59.25" hidden="1" customHeight="1" x14ac:dyDescent="0.25">
      <c r="A96" s="136" t="s">
        <v>342</v>
      </c>
      <c r="B96" s="136" t="s">
        <v>147</v>
      </c>
      <c r="C96" s="137" t="s">
        <v>148</v>
      </c>
      <c r="D96" s="32" t="s">
        <v>149</v>
      </c>
      <c r="E96" s="169">
        <f t="shared" si="17"/>
        <v>0</v>
      </c>
      <c r="F96" s="169"/>
      <c r="G96" s="169"/>
      <c r="H96" s="169"/>
      <c r="I96" s="169"/>
      <c r="J96" s="169">
        <f t="shared" si="16"/>
        <v>0</v>
      </c>
      <c r="K96" s="169"/>
      <c r="L96" s="169"/>
      <c r="M96" s="169"/>
      <c r="N96" s="169"/>
      <c r="O96" s="169"/>
      <c r="P96" s="138">
        <f t="shared" si="14"/>
        <v>0</v>
      </c>
      <c r="Q96" s="6">
        <v>2300000</v>
      </c>
      <c r="R96" s="134">
        <f t="shared" si="3"/>
        <v>0</v>
      </c>
      <c r="S96" s="135">
        <f t="shared" si="2"/>
        <v>0</v>
      </c>
    </row>
    <row r="97" spans="1:19" ht="23.25" hidden="1" customHeight="1" x14ac:dyDescent="0.25">
      <c r="A97" s="136" t="s">
        <v>343</v>
      </c>
      <c r="B97" s="136" t="s">
        <v>151</v>
      </c>
      <c r="C97" s="137" t="s">
        <v>152</v>
      </c>
      <c r="D97" s="182" t="s">
        <v>153</v>
      </c>
      <c r="E97" s="169">
        <f t="shared" si="17"/>
        <v>0</v>
      </c>
      <c r="F97" s="169"/>
      <c r="G97" s="169"/>
      <c r="H97" s="169"/>
      <c r="I97" s="169"/>
      <c r="J97" s="169">
        <f>L97+O97</f>
        <v>0</v>
      </c>
      <c r="K97" s="169"/>
      <c r="L97" s="169"/>
      <c r="M97" s="169"/>
      <c r="N97" s="169"/>
      <c r="O97" s="169"/>
      <c r="P97" s="138">
        <f>E97+J97</f>
        <v>0</v>
      </c>
      <c r="R97" s="134">
        <f t="shared" si="3"/>
        <v>0</v>
      </c>
      <c r="S97" s="135">
        <f t="shared" si="2"/>
        <v>0</v>
      </c>
    </row>
    <row r="98" spans="1:19" s="7" customFormat="1" ht="29.25" hidden="1" customHeight="1" x14ac:dyDescent="0.25">
      <c r="A98" s="140" t="s">
        <v>344</v>
      </c>
      <c r="B98" s="140" t="s">
        <v>176</v>
      </c>
      <c r="C98" s="141" t="s">
        <v>177</v>
      </c>
      <c r="D98" s="142" t="s">
        <v>178</v>
      </c>
      <c r="E98" s="161">
        <f t="shared" si="17"/>
        <v>0</v>
      </c>
      <c r="F98" s="161"/>
      <c r="G98" s="161"/>
      <c r="H98" s="161"/>
      <c r="I98" s="161"/>
      <c r="J98" s="161">
        <f t="shared" si="16"/>
        <v>0</v>
      </c>
      <c r="K98" s="161"/>
      <c r="L98" s="161"/>
      <c r="M98" s="161"/>
      <c r="N98" s="161"/>
      <c r="O98" s="161"/>
      <c r="P98" s="161">
        <f t="shared" si="14"/>
        <v>0</v>
      </c>
      <c r="R98" s="145">
        <f t="shared" si="3"/>
        <v>0</v>
      </c>
      <c r="S98" s="73">
        <f t="shared" si="2"/>
        <v>0</v>
      </c>
    </row>
    <row r="99" spans="1:19" s="7" customFormat="1" ht="37.5" hidden="1" customHeight="1" x14ac:dyDescent="0.25">
      <c r="A99" s="140" t="s">
        <v>345</v>
      </c>
      <c r="B99" s="140" t="s">
        <v>346</v>
      </c>
      <c r="C99" s="155" t="s">
        <v>347</v>
      </c>
      <c r="D99" s="154" t="s">
        <v>348</v>
      </c>
      <c r="E99" s="143">
        <f t="shared" si="17"/>
        <v>0</v>
      </c>
      <c r="F99" s="143"/>
      <c r="G99" s="143"/>
      <c r="H99" s="143"/>
      <c r="I99" s="143"/>
      <c r="J99" s="143">
        <f t="shared" si="16"/>
        <v>0</v>
      </c>
      <c r="K99" s="143"/>
      <c r="L99" s="143"/>
      <c r="M99" s="143"/>
      <c r="N99" s="143"/>
      <c r="O99" s="143"/>
      <c r="P99" s="143">
        <f>E99+J99</f>
        <v>0</v>
      </c>
      <c r="R99" s="145">
        <f t="shared" si="3"/>
        <v>0</v>
      </c>
      <c r="S99" s="73">
        <f>O99-K99</f>
        <v>0</v>
      </c>
    </row>
    <row r="100" spans="1:19" ht="29.25" hidden="1" customHeight="1" x14ac:dyDescent="0.25">
      <c r="A100" s="136" t="s">
        <v>349</v>
      </c>
      <c r="B100" s="136" t="s">
        <v>350</v>
      </c>
      <c r="C100" s="191" t="s">
        <v>347</v>
      </c>
      <c r="D100" s="186" t="s">
        <v>351</v>
      </c>
      <c r="E100" s="138">
        <f t="shared" si="17"/>
        <v>0</v>
      </c>
      <c r="F100" s="138"/>
      <c r="G100" s="138"/>
      <c r="H100" s="138"/>
      <c r="I100" s="138"/>
      <c r="J100" s="169">
        <f>L100+O100</f>
        <v>0</v>
      </c>
      <c r="K100" s="138"/>
      <c r="L100" s="138"/>
      <c r="M100" s="138"/>
      <c r="N100" s="138"/>
      <c r="O100" s="138"/>
      <c r="P100" s="138">
        <f>E100+J100</f>
        <v>0</v>
      </c>
      <c r="R100" s="134"/>
      <c r="S100" s="135"/>
    </row>
    <row r="101" spans="1:19" ht="31.5" hidden="1" x14ac:dyDescent="0.25">
      <c r="A101" s="136" t="s">
        <v>352</v>
      </c>
      <c r="B101" s="136" t="s">
        <v>353</v>
      </c>
      <c r="C101" s="191" t="s">
        <v>347</v>
      </c>
      <c r="D101" s="186" t="s">
        <v>354</v>
      </c>
      <c r="E101" s="138">
        <f t="shared" si="17"/>
        <v>0</v>
      </c>
      <c r="F101" s="138"/>
      <c r="G101" s="138"/>
      <c r="H101" s="138"/>
      <c r="I101" s="138"/>
      <c r="J101" s="169">
        <f>L101+O101</f>
        <v>0</v>
      </c>
      <c r="K101" s="138"/>
      <c r="L101" s="138"/>
      <c r="M101" s="138"/>
      <c r="N101" s="138"/>
      <c r="O101" s="138"/>
      <c r="P101" s="138">
        <f>E101+J101</f>
        <v>0</v>
      </c>
      <c r="R101" s="134"/>
      <c r="S101" s="135"/>
    </row>
    <row r="102" spans="1:19" ht="26.25" hidden="1" customHeight="1" x14ac:dyDescent="0.25">
      <c r="A102" s="136" t="s">
        <v>355</v>
      </c>
      <c r="B102" s="136" t="s">
        <v>356</v>
      </c>
      <c r="C102" s="137" t="s">
        <v>347</v>
      </c>
      <c r="D102" s="163" t="s">
        <v>357</v>
      </c>
      <c r="E102" s="138">
        <f t="shared" si="17"/>
        <v>0</v>
      </c>
      <c r="F102" s="169"/>
      <c r="G102" s="169"/>
      <c r="H102" s="169"/>
      <c r="I102" s="169"/>
      <c r="J102" s="169">
        <f>L102+O102</f>
        <v>0</v>
      </c>
      <c r="K102" s="138"/>
      <c r="L102" s="169"/>
      <c r="M102" s="169"/>
      <c r="N102" s="169"/>
      <c r="O102" s="138"/>
      <c r="P102" s="138">
        <f>E102+J102</f>
        <v>0</v>
      </c>
      <c r="R102" s="134">
        <f>K102-O102</f>
        <v>0</v>
      </c>
      <c r="S102" s="135">
        <f>O102-K102</f>
        <v>0</v>
      </c>
    </row>
    <row r="103" spans="1:19" s="7" customFormat="1" ht="90" hidden="1" customHeight="1" x14ac:dyDescent="0.25">
      <c r="A103" s="140" t="s">
        <v>358</v>
      </c>
      <c r="B103" s="140" t="s">
        <v>359</v>
      </c>
      <c r="C103" s="141" t="s">
        <v>360</v>
      </c>
      <c r="D103" s="159" t="s">
        <v>361</v>
      </c>
      <c r="E103" s="143">
        <f t="shared" si="17"/>
        <v>0</v>
      </c>
      <c r="F103" s="413"/>
      <c r="G103" s="413"/>
      <c r="H103" s="413"/>
      <c r="I103" s="413"/>
      <c r="J103" s="413">
        <f t="shared" si="16"/>
        <v>0</v>
      </c>
      <c r="K103" s="143"/>
      <c r="L103" s="413"/>
      <c r="M103" s="413"/>
      <c r="N103" s="413"/>
      <c r="O103" s="143"/>
      <c r="P103" s="143">
        <f t="shared" si="14"/>
        <v>0</v>
      </c>
      <c r="R103" s="145">
        <f t="shared" ref="R103:R147" si="18">K103-O103</f>
        <v>0</v>
      </c>
      <c r="S103" s="73">
        <f t="shared" ref="S103:S148" si="19">O103-K103</f>
        <v>0</v>
      </c>
    </row>
    <row r="104" spans="1:19" ht="32.25" hidden="1" customHeight="1" x14ac:dyDescent="0.25">
      <c r="A104" s="136" t="s">
        <v>362</v>
      </c>
      <c r="B104" s="136" t="s">
        <v>363</v>
      </c>
      <c r="C104" s="137" t="s">
        <v>360</v>
      </c>
      <c r="D104" s="163" t="s">
        <v>364</v>
      </c>
      <c r="E104" s="138">
        <f t="shared" si="17"/>
        <v>0</v>
      </c>
      <c r="F104" s="169"/>
      <c r="G104" s="169"/>
      <c r="H104" s="169"/>
      <c r="I104" s="169"/>
      <c r="J104" s="413">
        <f t="shared" si="16"/>
        <v>0</v>
      </c>
      <c r="K104" s="138"/>
      <c r="L104" s="169"/>
      <c r="M104" s="169"/>
      <c r="N104" s="169"/>
      <c r="O104" s="138"/>
      <c r="P104" s="138">
        <f t="shared" si="14"/>
        <v>0</v>
      </c>
      <c r="R104" s="134">
        <f t="shared" si="18"/>
        <v>0</v>
      </c>
      <c r="S104" s="135">
        <f t="shared" si="19"/>
        <v>0</v>
      </c>
    </row>
    <row r="105" spans="1:19" s="7" customFormat="1" ht="32.25" hidden="1" customHeight="1" x14ac:dyDescent="0.25">
      <c r="A105" s="136" t="s">
        <v>365</v>
      </c>
      <c r="B105" s="192" t="s">
        <v>366</v>
      </c>
      <c r="C105" s="192" t="s">
        <v>367</v>
      </c>
      <c r="D105" s="170" t="s">
        <v>368</v>
      </c>
      <c r="E105" s="143">
        <f t="shared" si="17"/>
        <v>0</v>
      </c>
      <c r="F105" s="430"/>
      <c r="G105" s="413"/>
      <c r="H105" s="413"/>
      <c r="I105" s="413"/>
      <c r="J105" s="413">
        <f t="shared" si="16"/>
        <v>0</v>
      </c>
      <c r="K105" s="143"/>
      <c r="L105" s="413"/>
      <c r="M105" s="413"/>
      <c r="N105" s="413"/>
      <c r="O105" s="143"/>
      <c r="P105" s="143">
        <f t="shared" si="14"/>
        <v>0</v>
      </c>
      <c r="R105" s="145">
        <f t="shared" si="18"/>
        <v>0</v>
      </c>
      <c r="S105" s="73">
        <f t="shared" si="19"/>
        <v>0</v>
      </c>
    </row>
    <row r="106" spans="1:19" ht="28.5" hidden="1" customHeight="1" x14ac:dyDescent="0.25">
      <c r="A106" s="192" t="s">
        <v>369</v>
      </c>
      <c r="B106" s="192" t="s">
        <v>370</v>
      </c>
      <c r="C106" s="194" t="s">
        <v>371</v>
      </c>
      <c r="D106" s="186" t="s">
        <v>372</v>
      </c>
      <c r="E106" s="138">
        <f t="shared" si="17"/>
        <v>0</v>
      </c>
      <c r="F106" s="169"/>
      <c r="G106" s="169"/>
      <c r="H106" s="169"/>
      <c r="I106" s="169"/>
      <c r="J106" s="413">
        <f t="shared" si="16"/>
        <v>0</v>
      </c>
      <c r="K106" s="138"/>
      <c r="L106" s="138"/>
      <c r="M106" s="138"/>
      <c r="N106" s="138"/>
      <c r="O106" s="138"/>
      <c r="P106" s="138">
        <f t="shared" si="14"/>
        <v>0</v>
      </c>
      <c r="R106" s="134">
        <f t="shared" si="18"/>
        <v>0</v>
      </c>
      <c r="S106" s="135">
        <f t="shared" si="19"/>
        <v>0</v>
      </c>
    </row>
    <row r="107" spans="1:19" s="7" customFormat="1" ht="42.75" hidden="1" customHeight="1" x14ac:dyDescent="0.25">
      <c r="A107" s="140" t="s">
        <v>373</v>
      </c>
      <c r="B107" s="141" t="s">
        <v>374</v>
      </c>
      <c r="C107" s="141" t="s">
        <v>371</v>
      </c>
      <c r="D107" s="195" t="s">
        <v>375</v>
      </c>
      <c r="E107" s="143"/>
      <c r="F107" s="413"/>
      <c r="G107" s="413"/>
      <c r="H107" s="413"/>
      <c r="I107" s="413"/>
      <c r="J107" s="413">
        <f t="shared" si="16"/>
        <v>0</v>
      </c>
      <c r="K107" s="143"/>
      <c r="L107" s="413"/>
      <c r="M107" s="413"/>
      <c r="N107" s="413"/>
      <c r="O107" s="143"/>
      <c r="P107" s="143">
        <f t="shared" si="14"/>
        <v>0</v>
      </c>
      <c r="R107" s="145">
        <f t="shared" si="18"/>
        <v>0</v>
      </c>
      <c r="S107" s="73">
        <f t="shared" si="19"/>
        <v>0</v>
      </c>
    </row>
    <row r="108" spans="1:19" s="7" customFormat="1" ht="36.75" hidden="1" customHeight="1" x14ac:dyDescent="0.25">
      <c r="A108" s="140" t="s">
        <v>376</v>
      </c>
      <c r="B108" s="146" t="s">
        <v>377</v>
      </c>
      <c r="C108" s="146" t="s">
        <v>371</v>
      </c>
      <c r="D108" s="171" t="s">
        <v>378</v>
      </c>
      <c r="E108" s="413">
        <f>F108+I108</f>
        <v>0</v>
      </c>
      <c r="F108" s="413"/>
      <c r="G108" s="413"/>
      <c r="H108" s="413"/>
      <c r="I108" s="413"/>
      <c r="J108" s="413">
        <f t="shared" si="16"/>
        <v>0</v>
      </c>
      <c r="K108" s="413"/>
      <c r="L108" s="413"/>
      <c r="M108" s="413"/>
      <c r="N108" s="413"/>
      <c r="O108" s="413"/>
      <c r="P108" s="143">
        <f>E108+J108</f>
        <v>0</v>
      </c>
      <c r="R108" s="145">
        <f t="shared" si="18"/>
        <v>0</v>
      </c>
      <c r="S108" s="73">
        <f t="shared" si="19"/>
        <v>0</v>
      </c>
    </row>
    <row r="109" spans="1:19" ht="46.5" hidden="1" customHeight="1" x14ac:dyDescent="0.25">
      <c r="A109" s="136" t="s">
        <v>379</v>
      </c>
      <c r="B109" s="136" t="s">
        <v>380</v>
      </c>
      <c r="C109" s="191" t="s">
        <v>381</v>
      </c>
      <c r="D109" s="186" t="s">
        <v>382</v>
      </c>
      <c r="E109" s="138">
        <f t="shared" ref="E109:E116" si="20">F109+I109</f>
        <v>0</v>
      </c>
      <c r="F109" s="169"/>
      <c r="G109" s="169"/>
      <c r="H109" s="169"/>
      <c r="I109" s="169"/>
      <c r="J109" s="413">
        <f t="shared" si="16"/>
        <v>0</v>
      </c>
      <c r="K109" s="138"/>
      <c r="L109" s="169"/>
      <c r="M109" s="169"/>
      <c r="N109" s="169"/>
      <c r="O109" s="138"/>
      <c r="P109" s="138">
        <f t="shared" si="14"/>
        <v>0</v>
      </c>
      <c r="R109" s="134">
        <f t="shared" si="18"/>
        <v>0</v>
      </c>
      <c r="S109" s="135">
        <f t="shared" si="19"/>
        <v>0</v>
      </c>
    </row>
    <row r="110" spans="1:19" s="7" customFormat="1" ht="35.25" hidden="1" customHeight="1" x14ac:dyDescent="0.25">
      <c r="A110" s="140" t="s">
        <v>383</v>
      </c>
      <c r="B110" s="140" t="s">
        <v>384</v>
      </c>
      <c r="C110" s="141" t="s">
        <v>189</v>
      </c>
      <c r="D110" s="196" t="s">
        <v>385</v>
      </c>
      <c r="E110" s="143">
        <f t="shared" si="20"/>
        <v>0</v>
      </c>
      <c r="F110" s="143"/>
      <c r="G110" s="143"/>
      <c r="H110" s="143"/>
      <c r="I110" s="143"/>
      <c r="J110" s="413">
        <f t="shared" si="16"/>
        <v>0</v>
      </c>
      <c r="K110" s="143"/>
      <c r="L110" s="143"/>
      <c r="M110" s="143"/>
      <c r="N110" s="143"/>
      <c r="O110" s="143"/>
      <c r="P110" s="143">
        <f t="shared" si="14"/>
        <v>0</v>
      </c>
      <c r="R110" s="145">
        <f t="shared" si="18"/>
        <v>0</v>
      </c>
      <c r="S110" s="73">
        <f t="shared" si="19"/>
        <v>0</v>
      </c>
    </row>
    <row r="111" spans="1:19" s="7" customFormat="1" ht="37.5" hidden="1" customHeight="1" x14ac:dyDescent="0.25">
      <c r="A111" s="140" t="s">
        <v>386</v>
      </c>
      <c r="B111" s="146" t="s">
        <v>387</v>
      </c>
      <c r="C111" s="146" t="s">
        <v>185</v>
      </c>
      <c r="D111" s="142" t="s">
        <v>388</v>
      </c>
      <c r="E111" s="413">
        <f t="shared" si="20"/>
        <v>0</v>
      </c>
      <c r="F111" s="413"/>
      <c r="G111" s="413"/>
      <c r="H111" s="413"/>
      <c r="I111" s="413"/>
      <c r="J111" s="413">
        <f t="shared" si="16"/>
        <v>0</v>
      </c>
      <c r="K111" s="413"/>
      <c r="L111" s="413"/>
      <c r="M111" s="413"/>
      <c r="N111" s="413"/>
      <c r="O111" s="413"/>
      <c r="P111" s="143">
        <f>E111+J111</f>
        <v>0</v>
      </c>
      <c r="R111" s="145">
        <f t="shared" si="18"/>
        <v>0</v>
      </c>
      <c r="S111" s="73">
        <f t="shared" si="19"/>
        <v>0</v>
      </c>
    </row>
    <row r="112" spans="1:19" s="7" customFormat="1" ht="32.25" customHeight="1" x14ac:dyDescent="0.25">
      <c r="A112" s="140" t="s">
        <v>390</v>
      </c>
      <c r="B112" s="140" t="s">
        <v>391</v>
      </c>
      <c r="C112" s="141" t="s">
        <v>185</v>
      </c>
      <c r="D112" s="196" t="s">
        <v>392</v>
      </c>
      <c r="E112" s="143">
        <f>F112+I112</f>
        <v>0</v>
      </c>
      <c r="F112" s="143"/>
      <c r="G112" s="143"/>
      <c r="H112" s="143"/>
      <c r="I112" s="143"/>
      <c r="J112" s="147">
        <f>L112+O112</f>
        <v>6500000</v>
      </c>
      <c r="K112" s="143">
        <v>6500000</v>
      </c>
      <c r="L112" s="143"/>
      <c r="M112" s="143"/>
      <c r="N112" s="143"/>
      <c r="O112" s="143">
        <v>6500000</v>
      </c>
      <c r="P112" s="143">
        <f>E112+J112</f>
        <v>6500000</v>
      </c>
      <c r="R112" s="145"/>
      <c r="S112" s="73"/>
    </row>
    <row r="113" spans="1:19" s="7" customFormat="1" ht="32.25" hidden="1" customHeight="1" x14ac:dyDescent="0.25">
      <c r="A113" s="140" t="s">
        <v>389</v>
      </c>
      <c r="B113" s="140" t="s">
        <v>198</v>
      </c>
      <c r="C113" s="141" t="s">
        <v>185</v>
      </c>
      <c r="D113" s="196" t="s">
        <v>199</v>
      </c>
      <c r="E113" s="161">
        <f t="shared" si="20"/>
        <v>0</v>
      </c>
      <c r="F113" s="161"/>
      <c r="G113" s="161"/>
      <c r="H113" s="161"/>
      <c r="I113" s="161"/>
      <c r="J113" s="423">
        <f t="shared" si="16"/>
        <v>0</v>
      </c>
      <c r="K113" s="161"/>
      <c r="L113" s="161"/>
      <c r="M113" s="161"/>
      <c r="N113" s="161"/>
      <c r="O113" s="161"/>
      <c r="P113" s="161">
        <f t="shared" si="14"/>
        <v>0</v>
      </c>
      <c r="R113" s="145">
        <f t="shared" si="18"/>
        <v>0</v>
      </c>
      <c r="S113" s="73">
        <f t="shared" si="19"/>
        <v>0</v>
      </c>
    </row>
    <row r="114" spans="1:19" s="7" customFormat="1" ht="32.25" hidden="1" customHeight="1" x14ac:dyDescent="0.25">
      <c r="A114" s="140" t="s">
        <v>393</v>
      </c>
      <c r="B114" s="165">
        <v>8110</v>
      </c>
      <c r="C114" s="146" t="s">
        <v>202</v>
      </c>
      <c r="D114" s="166" t="s">
        <v>203</v>
      </c>
      <c r="E114" s="143">
        <f t="shared" si="20"/>
        <v>0</v>
      </c>
      <c r="F114" s="143"/>
      <c r="G114" s="143"/>
      <c r="H114" s="143"/>
      <c r="I114" s="143"/>
      <c r="J114" s="413"/>
      <c r="K114" s="143"/>
      <c r="L114" s="143"/>
      <c r="M114" s="143"/>
      <c r="N114" s="143"/>
      <c r="O114" s="143"/>
      <c r="P114" s="143">
        <f t="shared" si="14"/>
        <v>0</v>
      </c>
      <c r="R114" s="145"/>
      <c r="S114" s="73"/>
    </row>
    <row r="115" spans="1:19" s="7" customFormat="1" ht="31.5" hidden="1" customHeight="1" x14ac:dyDescent="0.25">
      <c r="A115" s="140" t="s">
        <v>394</v>
      </c>
      <c r="B115" s="165">
        <v>8311</v>
      </c>
      <c r="C115" s="140" t="s">
        <v>395</v>
      </c>
      <c r="D115" s="154" t="s">
        <v>396</v>
      </c>
      <c r="E115" s="413">
        <f t="shared" si="20"/>
        <v>0</v>
      </c>
      <c r="F115" s="413"/>
      <c r="G115" s="413"/>
      <c r="H115" s="413"/>
      <c r="I115" s="413"/>
      <c r="J115" s="413">
        <f t="shared" si="16"/>
        <v>0</v>
      </c>
      <c r="K115" s="413"/>
      <c r="L115" s="413"/>
      <c r="M115" s="413"/>
      <c r="N115" s="413"/>
      <c r="O115" s="413"/>
      <c r="P115" s="143">
        <f t="shared" si="14"/>
        <v>0</v>
      </c>
      <c r="R115" s="145">
        <f t="shared" si="18"/>
        <v>0</v>
      </c>
      <c r="S115" s="73">
        <f t="shared" si="19"/>
        <v>0</v>
      </c>
    </row>
    <row r="116" spans="1:19" s="7" customFormat="1" ht="27" hidden="1" customHeight="1" x14ac:dyDescent="0.25">
      <c r="A116" s="140" t="s">
        <v>397</v>
      </c>
      <c r="B116" s="140" t="s">
        <v>398</v>
      </c>
      <c r="C116" s="141" t="s">
        <v>399</v>
      </c>
      <c r="D116" s="159" t="s">
        <v>400</v>
      </c>
      <c r="E116" s="161">
        <f t="shared" si="20"/>
        <v>0</v>
      </c>
      <c r="F116" s="161"/>
      <c r="G116" s="161"/>
      <c r="H116" s="161"/>
      <c r="I116" s="161"/>
      <c r="J116" s="423">
        <f t="shared" si="16"/>
        <v>0</v>
      </c>
      <c r="K116" s="161"/>
      <c r="L116" s="161"/>
      <c r="M116" s="161"/>
      <c r="N116" s="161"/>
      <c r="O116" s="161"/>
      <c r="P116" s="161">
        <f t="shared" si="14"/>
        <v>0</v>
      </c>
      <c r="R116" s="145">
        <f t="shared" si="18"/>
        <v>0</v>
      </c>
      <c r="S116" s="73">
        <f t="shared" si="19"/>
        <v>0</v>
      </c>
    </row>
    <row r="117" spans="1:19" s="7" customFormat="1" ht="120.75" hidden="1" customHeight="1" x14ac:dyDescent="0.25">
      <c r="A117" s="140" t="s">
        <v>401</v>
      </c>
      <c r="B117" s="140" t="s">
        <v>195</v>
      </c>
      <c r="C117" s="146" t="s">
        <v>185</v>
      </c>
      <c r="D117" s="429" t="s">
        <v>196</v>
      </c>
      <c r="E117" s="423"/>
      <c r="F117" s="423"/>
      <c r="G117" s="423"/>
      <c r="H117" s="423"/>
      <c r="I117" s="423"/>
      <c r="J117" s="423">
        <f t="shared" si="16"/>
        <v>0</v>
      </c>
      <c r="K117" s="423"/>
      <c r="L117" s="423"/>
      <c r="M117" s="423"/>
      <c r="N117" s="423"/>
      <c r="O117" s="423"/>
      <c r="P117" s="161">
        <f t="shared" si="14"/>
        <v>0</v>
      </c>
      <c r="R117" s="145">
        <f t="shared" si="18"/>
        <v>0</v>
      </c>
      <c r="S117" s="73">
        <f t="shared" si="19"/>
        <v>0</v>
      </c>
    </row>
    <row r="118" spans="1:19" s="124" customFormat="1" ht="56.25" hidden="1" customHeight="1" x14ac:dyDescent="0.25">
      <c r="A118" s="129" t="s">
        <v>402</v>
      </c>
      <c r="B118" s="129" t="s">
        <v>403</v>
      </c>
      <c r="C118" s="130"/>
      <c r="D118" s="431" t="s">
        <v>404</v>
      </c>
      <c r="E118" s="132">
        <f>F118+I118</f>
        <v>0</v>
      </c>
      <c r="F118" s="132">
        <f t="shared" ref="F118:O118" si="21">F119</f>
        <v>0</v>
      </c>
      <c r="G118" s="132">
        <f t="shared" si="21"/>
        <v>0</v>
      </c>
      <c r="H118" s="132">
        <f t="shared" si="21"/>
        <v>0</v>
      </c>
      <c r="I118" s="132">
        <f t="shared" si="21"/>
        <v>0</v>
      </c>
      <c r="J118" s="132">
        <f t="shared" si="21"/>
        <v>0</v>
      </c>
      <c r="K118" s="132">
        <f t="shared" si="21"/>
        <v>1.0000000000000001E-5</v>
      </c>
      <c r="L118" s="132">
        <f t="shared" si="21"/>
        <v>0</v>
      </c>
      <c r="M118" s="132">
        <f t="shared" si="21"/>
        <v>0</v>
      </c>
      <c r="N118" s="132">
        <f t="shared" si="21"/>
        <v>0</v>
      </c>
      <c r="O118" s="132">
        <f t="shared" si="21"/>
        <v>1.0000000000000001E-5</v>
      </c>
      <c r="P118" s="132">
        <f>E118+J118</f>
        <v>0</v>
      </c>
      <c r="Q118" s="124">
        <v>9763551</v>
      </c>
      <c r="R118" s="134">
        <f>P118+Q118</f>
        <v>9763551</v>
      </c>
      <c r="S118" s="135">
        <f t="shared" si="19"/>
        <v>0</v>
      </c>
    </row>
    <row r="119" spans="1:19" s="124" customFormat="1" ht="48" hidden="1" customHeight="1" x14ac:dyDescent="0.25">
      <c r="A119" s="129" t="s">
        <v>405</v>
      </c>
      <c r="B119" s="129"/>
      <c r="C119" s="130"/>
      <c r="D119" s="431" t="s">
        <v>406</v>
      </c>
      <c r="E119" s="132">
        <f t="shared" ref="E119:N119" si="22">SUM(E120:E134)</f>
        <v>0</v>
      </c>
      <c r="F119" s="132">
        <f t="shared" si="22"/>
        <v>0</v>
      </c>
      <c r="G119" s="132">
        <f t="shared" si="22"/>
        <v>0</v>
      </c>
      <c r="H119" s="132">
        <f t="shared" si="22"/>
        <v>0</v>
      </c>
      <c r="I119" s="132">
        <f t="shared" si="22"/>
        <v>0</v>
      </c>
      <c r="J119" s="132">
        <f t="shared" si="22"/>
        <v>0</v>
      </c>
      <c r="K119" s="132">
        <f>SUM(K120:K134)+0.00001</f>
        <v>1.0000000000000001E-5</v>
      </c>
      <c r="L119" s="132">
        <f t="shared" si="22"/>
        <v>0</v>
      </c>
      <c r="M119" s="132">
        <f t="shared" si="22"/>
        <v>0</v>
      </c>
      <c r="N119" s="132">
        <f t="shared" si="22"/>
        <v>0</v>
      </c>
      <c r="O119" s="132">
        <f>SUM(O120:O134)+0.00001</f>
        <v>1.0000000000000001E-5</v>
      </c>
      <c r="P119" s="132">
        <f>E119+J119</f>
        <v>0</v>
      </c>
      <c r="R119" s="134">
        <f t="shared" si="18"/>
        <v>0</v>
      </c>
      <c r="S119" s="135">
        <f t="shared" si="19"/>
        <v>0</v>
      </c>
    </row>
    <row r="120" spans="1:19" s="7" customFormat="1" ht="47.25" hidden="1" x14ac:dyDescent="0.25">
      <c r="A120" s="140" t="s">
        <v>407</v>
      </c>
      <c r="B120" s="140" t="s">
        <v>147</v>
      </c>
      <c r="C120" s="141" t="s">
        <v>148</v>
      </c>
      <c r="D120" s="156" t="s">
        <v>149</v>
      </c>
      <c r="E120" s="423">
        <f>F120+I120</f>
        <v>0</v>
      </c>
      <c r="F120" s="423"/>
      <c r="G120" s="423"/>
      <c r="H120" s="423"/>
      <c r="I120" s="423"/>
      <c r="J120" s="161">
        <f>L120+O120</f>
        <v>0</v>
      </c>
      <c r="K120" s="161"/>
      <c r="L120" s="423"/>
      <c r="M120" s="423"/>
      <c r="N120" s="161"/>
      <c r="O120" s="161"/>
      <c r="P120" s="161">
        <f t="shared" si="14"/>
        <v>0</v>
      </c>
      <c r="R120" s="145">
        <f t="shared" si="18"/>
        <v>0</v>
      </c>
      <c r="S120" s="73">
        <f t="shared" si="19"/>
        <v>0</v>
      </c>
    </row>
    <row r="121" spans="1:19" s="7" customFormat="1" ht="31.5" hidden="1" x14ac:dyDescent="0.25">
      <c r="A121" s="140" t="s">
        <v>408</v>
      </c>
      <c r="B121" s="140" t="s">
        <v>221</v>
      </c>
      <c r="C121" s="141" t="s">
        <v>222</v>
      </c>
      <c r="D121" s="171" t="s">
        <v>223</v>
      </c>
      <c r="E121" s="413"/>
      <c r="F121" s="413"/>
      <c r="G121" s="413"/>
      <c r="H121" s="413"/>
      <c r="I121" s="413"/>
      <c r="J121" s="143">
        <f>L121+O121</f>
        <v>0</v>
      </c>
      <c r="K121" s="143"/>
      <c r="L121" s="413"/>
      <c r="M121" s="413"/>
      <c r="N121" s="143"/>
      <c r="O121" s="143"/>
      <c r="P121" s="138">
        <f t="shared" si="14"/>
        <v>0</v>
      </c>
      <c r="R121" s="145"/>
      <c r="S121" s="73"/>
    </row>
    <row r="122" spans="1:19" s="7" customFormat="1" ht="31.5" hidden="1" x14ac:dyDescent="0.25">
      <c r="A122" s="140" t="s">
        <v>409</v>
      </c>
      <c r="B122" s="140" t="s">
        <v>160</v>
      </c>
      <c r="C122" s="146" t="s">
        <v>161</v>
      </c>
      <c r="D122" s="154" t="s">
        <v>162</v>
      </c>
      <c r="E122" s="423"/>
      <c r="F122" s="423"/>
      <c r="G122" s="423"/>
      <c r="H122" s="423"/>
      <c r="I122" s="423"/>
      <c r="J122" s="161"/>
      <c r="K122" s="161"/>
      <c r="L122" s="423"/>
      <c r="M122" s="423"/>
      <c r="N122" s="161"/>
      <c r="O122" s="161"/>
      <c r="P122" s="138">
        <f t="shared" si="14"/>
        <v>0</v>
      </c>
      <c r="R122" s="145"/>
      <c r="S122" s="73"/>
    </row>
    <row r="123" spans="1:19" s="7" customFormat="1" ht="47.25" hidden="1" x14ac:dyDescent="0.25">
      <c r="A123" s="200">
        <v>1511171</v>
      </c>
      <c r="B123" s="201" t="s">
        <v>410</v>
      </c>
      <c r="C123" s="201" t="s">
        <v>242</v>
      </c>
      <c r="D123" s="202" t="s">
        <v>411</v>
      </c>
      <c r="E123" s="413">
        <f>F123+I123</f>
        <v>0</v>
      </c>
      <c r="F123" s="413"/>
      <c r="G123" s="413"/>
      <c r="H123" s="413"/>
      <c r="I123" s="413"/>
      <c r="J123" s="143">
        <f>L123+O123</f>
        <v>0</v>
      </c>
      <c r="K123" s="143"/>
      <c r="L123" s="413"/>
      <c r="M123" s="413"/>
      <c r="N123" s="143"/>
      <c r="O123" s="143"/>
      <c r="P123" s="143">
        <f t="shared" si="14"/>
        <v>0</v>
      </c>
      <c r="R123" s="145"/>
      <c r="S123" s="73"/>
    </row>
    <row r="124" spans="1:19" s="7" customFormat="1" hidden="1" x14ac:dyDescent="0.25">
      <c r="A124" s="140" t="s">
        <v>412</v>
      </c>
      <c r="B124" s="140" t="s">
        <v>356</v>
      </c>
      <c r="C124" s="141" t="s">
        <v>347</v>
      </c>
      <c r="D124" s="159" t="s">
        <v>357</v>
      </c>
      <c r="E124" s="413">
        <f>F124+I124</f>
        <v>0</v>
      </c>
      <c r="F124" s="413"/>
      <c r="G124" s="413"/>
      <c r="H124" s="413"/>
      <c r="I124" s="413"/>
      <c r="J124" s="143">
        <f>L124+O124</f>
        <v>0</v>
      </c>
      <c r="K124" s="143"/>
      <c r="L124" s="413"/>
      <c r="M124" s="413"/>
      <c r="N124" s="143"/>
      <c r="O124" s="143">
        <f>K124</f>
        <v>0</v>
      </c>
      <c r="P124" s="143">
        <f t="shared" si="14"/>
        <v>0</v>
      </c>
      <c r="R124" s="145">
        <f t="shared" si="18"/>
        <v>0</v>
      </c>
      <c r="S124" s="73">
        <f t="shared" si="19"/>
        <v>0</v>
      </c>
    </row>
    <row r="125" spans="1:19" s="7" customFormat="1" hidden="1" x14ac:dyDescent="0.25">
      <c r="A125" s="146" t="s">
        <v>413</v>
      </c>
      <c r="B125" s="146" t="s">
        <v>370</v>
      </c>
      <c r="C125" s="203" t="s">
        <v>371</v>
      </c>
      <c r="D125" s="154" t="s">
        <v>372</v>
      </c>
      <c r="E125" s="413">
        <f t="shared" ref="E125:E130" si="23">F125+I125</f>
        <v>0</v>
      </c>
      <c r="F125" s="413"/>
      <c r="G125" s="413"/>
      <c r="H125" s="413"/>
      <c r="I125" s="413"/>
      <c r="J125" s="143">
        <f>L125+O125</f>
        <v>0</v>
      </c>
      <c r="K125" s="143"/>
      <c r="L125" s="413"/>
      <c r="M125" s="413"/>
      <c r="N125" s="143"/>
      <c r="O125" s="143"/>
      <c r="P125" s="143">
        <f t="shared" si="14"/>
        <v>0</v>
      </c>
      <c r="R125" s="145">
        <f t="shared" si="18"/>
        <v>0</v>
      </c>
      <c r="S125" s="73"/>
    </row>
    <row r="126" spans="1:19" s="432" customFormat="1" ht="30.75" hidden="1" customHeight="1" x14ac:dyDescent="0.25">
      <c r="A126" s="136" t="s">
        <v>414</v>
      </c>
      <c r="B126" s="136" t="s">
        <v>415</v>
      </c>
      <c r="C126" s="137" t="s">
        <v>371</v>
      </c>
      <c r="D126" s="32" t="s">
        <v>416</v>
      </c>
      <c r="E126" s="169">
        <v>0</v>
      </c>
      <c r="F126" s="138"/>
      <c r="G126" s="138"/>
      <c r="H126" s="138"/>
      <c r="I126" s="138"/>
      <c r="J126" s="143">
        <f>L126+O126</f>
        <v>0</v>
      </c>
      <c r="K126" s="143"/>
      <c r="L126" s="138"/>
      <c r="M126" s="138"/>
      <c r="N126" s="138"/>
      <c r="O126" s="169"/>
      <c r="P126" s="138">
        <f t="shared" si="14"/>
        <v>0</v>
      </c>
      <c r="R126" s="134">
        <v>0</v>
      </c>
      <c r="S126" s="135">
        <v>0</v>
      </c>
    </row>
    <row r="127" spans="1:19" s="177" customFormat="1" ht="36" hidden="1" customHeight="1" x14ac:dyDescent="0.25">
      <c r="A127" s="140" t="s">
        <v>417</v>
      </c>
      <c r="B127" s="140" t="s">
        <v>418</v>
      </c>
      <c r="C127" s="141" t="s">
        <v>371</v>
      </c>
      <c r="D127" s="156" t="s">
        <v>419</v>
      </c>
      <c r="E127" s="413">
        <f t="shared" si="23"/>
        <v>0</v>
      </c>
      <c r="F127" s="143"/>
      <c r="G127" s="143"/>
      <c r="H127" s="143"/>
      <c r="I127" s="143"/>
      <c r="J127" s="143">
        <f t="shared" ref="J127:J134" si="24">L127+O127</f>
        <v>0</v>
      </c>
      <c r="K127" s="143">
        <f>O127</f>
        <v>0</v>
      </c>
      <c r="L127" s="143"/>
      <c r="M127" s="143"/>
      <c r="N127" s="143"/>
      <c r="O127" s="413"/>
      <c r="P127" s="143">
        <f t="shared" si="14"/>
        <v>0</v>
      </c>
      <c r="R127" s="145">
        <f t="shared" si="18"/>
        <v>0</v>
      </c>
      <c r="S127" s="73">
        <f t="shared" si="19"/>
        <v>0</v>
      </c>
    </row>
    <row r="128" spans="1:19" s="432" customFormat="1" ht="35.25" hidden="1" customHeight="1" x14ac:dyDescent="0.25">
      <c r="A128" s="136" t="s">
        <v>420</v>
      </c>
      <c r="B128" s="136" t="s">
        <v>421</v>
      </c>
      <c r="C128" s="137" t="s">
        <v>371</v>
      </c>
      <c r="D128" s="182" t="s">
        <v>422</v>
      </c>
      <c r="E128" s="169">
        <f t="shared" si="23"/>
        <v>0</v>
      </c>
      <c r="F128" s="138"/>
      <c r="G128" s="138"/>
      <c r="H128" s="138"/>
      <c r="I128" s="138"/>
      <c r="J128" s="138">
        <f t="shared" si="24"/>
        <v>0</v>
      </c>
      <c r="K128" s="169"/>
      <c r="L128" s="138"/>
      <c r="M128" s="138"/>
      <c r="N128" s="138"/>
      <c r="O128" s="169"/>
      <c r="P128" s="138">
        <f t="shared" si="14"/>
        <v>0</v>
      </c>
      <c r="R128" s="134">
        <f t="shared" si="18"/>
        <v>0</v>
      </c>
      <c r="S128" s="135">
        <f t="shared" si="19"/>
        <v>0</v>
      </c>
    </row>
    <row r="129" spans="1:19" s="432" customFormat="1" ht="43.5" hidden="1" customHeight="1" x14ac:dyDescent="0.25">
      <c r="A129" s="136" t="s">
        <v>423</v>
      </c>
      <c r="B129" s="136" t="s">
        <v>424</v>
      </c>
      <c r="C129" s="137" t="s">
        <v>371</v>
      </c>
      <c r="D129" s="182" t="s">
        <v>425</v>
      </c>
      <c r="E129" s="169">
        <f t="shared" si="23"/>
        <v>0</v>
      </c>
      <c r="F129" s="138"/>
      <c r="G129" s="138"/>
      <c r="H129" s="138"/>
      <c r="I129" s="138"/>
      <c r="J129" s="138">
        <f t="shared" si="24"/>
        <v>0</v>
      </c>
      <c r="K129" s="138"/>
      <c r="L129" s="138"/>
      <c r="M129" s="138"/>
      <c r="N129" s="138"/>
      <c r="O129" s="169"/>
      <c r="P129" s="138">
        <f t="shared" si="14"/>
        <v>0</v>
      </c>
      <c r="R129" s="134">
        <f t="shared" si="18"/>
        <v>0</v>
      </c>
      <c r="S129" s="135">
        <f t="shared" si="19"/>
        <v>0</v>
      </c>
    </row>
    <row r="130" spans="1:19" ht="36.75" hidden="1" customHeight="1" x14ac:dyDescent="0.25">
      <c r="A130" s="136" t="s">
        <v>426</v>
      </c>
      <c r="B130" s="137" t="s">
        <v>374</v>
      </c>
      <c r="C130" s="137" t="s">
        <v>371</v>
      </c>
      <c r="D130" s="433" t="s">
        <v>427</v>
      </c>
      <c r="E130" s="169">
        <f t="shared" si="23"/>
        <v>0</v>
      </c>
      <c r="F130" s="138"/>
      <c r="G130" s="138"/>
      <c r="H130" s="138"/>
      <c r="I130" s="138"/>
      <c r="J130" s="138">
        <f t="shared" si="24"/>
        <v>0</v>
      </c>
      <c r="K130" s="138"/>
      <c r="L130" s="138"/>
      <c r="M130" s="138"/>
      <c r="N130" s="138"/>
      <c r="O130" s="169"/>
      <c r="P130" s="138">
        <f>E130+J130</f>
        <v>0</v>
      </c>
      <c r="R130" s="134">
        <f t="shared" si="18"/>
        <v>0</v>
      </c>
      <c r="S130" s="135">
        <f>O130-K130</f>
        <v>0</v>
      </c>
    </row>
    <row r="131" spans="1:19" ht="36.75" hidden="1" customHeight="1" x14ac:dyDescent="0.25">
      <c r="A131" s="136" t="s">
        <v>428</v>
      </c>
      <c r="B131" s="192" t="s">
        <v>429</v>
      </c>
      <c r="C131" s="434" t="s">
        <v>371</v>
      </c>
      <c r="D131" s="433" t="s">
        <v>430</v>
      </c>
      <c r="E131" s="169">
        <f>F131+I131</f>
        <v>0</v>
      </c>
      <c r="F131" s="138"/>
      <c r="G131" s="138"/>
      <c r="H131" s="138"/>
      <c r="I131" s="138"/>
      <c r="J131" s="138">
        <f t="shared" si="24"/>
        <v>0</v>
      </c>
      <c r="K131" s="138"/>
      <c r="L131" s="138"/>
      <c r="M131" s="138"/>
      <c r="N131" s="138"/>
      <c r="O131" s="169"/>
      <c r="P131" s="138">
        <f>E131+J131</f>
        <v>0</v>
      </c>
      <c r="R131" s="134"/>
      <c r="S131" s="135"/>
    </row>
    <row r="132" spans="1:19" ht="36.75" hidden="1" customHeight="1" x14ac:dyDescent="0.25">
      <c r="A132" s="140" t="s">
        <v>431</v>
      </c>
      <c r="B132" s="435" t="s">
        <v>432</v>
      </c>
      <c r="C132" s="436" t="s">
        <v>381</v>
      </c>
      <c r="D132" s="437" t="s">
        <v>433</v>
      </c>
      <c r="E132" s="138">
        <f>F132+I132</f>
        <v>0</v>
      </c>
      <c r="F132" s="169"/>
      <c r="G132" s="169"/>
      <c r="H132" s="169"/>
      <c r="I132" s="169"/>
      <c r="J132" s="169">
        <f>L132+O132</f>
        <v>0</v>
      </c>
      <c r="K132" s="138"/>
      <c r="L132" s="169"/>
      <c r="M132" s="169"/>
      <c r="N132" s="169"/>
      <c r="O132" s="169"/>
      <c r="P132" s="138">
        <f>E132+J132</f>
        <v>0</v>
      </c>
      <c r="R132" s="134"/>
      <c r="S132" s="135"/>
    </row>
    <row r="133" spans="1:19" ht="36.75" hidden="1" customHeight="1" x14ac:dyDescent="0.25">
      <c r="A133" s="136" t="s">
        <v>434</v>
      </c>
      <c r="B133" s="136" t="s">
        <v>380</v>
      </c>
      <c r="C133" s="191" t="s">
        <v>381</v>
      </c>
      <c r="D133" s="32" t="s">
        <v>382</v>
      </c>
      <c r="E133" s="138">
        <f>F133+I133</f>
        <v>0</v>
      </c>
      <c r="F133" s="169"/>
      <c r="G133" s="169"/>
      <c r="H133" s="169"/>
      <c r="I133" s="169"/>
      <c r="J133" s="169">
        <f t="shared" si="24"/>
        <v>0</v>
      </c>
      <c r="K133" s="138"/>
      <c r="L133" s="169"/>
      <c r="M133" s="169"/>
      <c r="N133" s="169"/>
      <c r="O133" s="169"/>
      <c r="P133" s="138">
        <f>E133+J133</f>
        <v>0</v>
      </c>
      <c r="R133" s="134"/>
      <c r="S133" s="135"/>
    </row>
    <row r="134" spans="1:19" ht="49.5" hidden="1" customHeight="1" x14ac:dyDescent="0.25">
      <c r="A134" s="136" t="s">
        <v>435</v>
      </c>
      <c r="B134" s="136" t="s">
        <v>436</v>
      </c>
      <c r="C134" s="191" t="s">
        <v>381</v>
      </c>
      <c r="D134" s="32" t="s">
        <v>437</v>
      </c>
      <c r="E134" s="138">
        <f>F134+I134</f>
        <v>0</v>
      </c>
      <c r="F134" s="169"/>
      <c r="G134" s="169"/>
      <c r="H134" s="169"/>
      <c r="I134" s="169"/>
      <c r="J134" s="169">
        <f t="shared" si="24"/>
        <v>0</v>
      </c>
      <c r="K134" s="138"/>
      <c r="L134" s="169"/>
      <c r="M134" s="169"/>
      <c r="N134" s="169"/>
      <c r="O134" s="138"/>
      <c r="P134" s="138">
        <f>E134+J134</f>
        <v>0</v>
      </c>
      <c r="R134" s="134"/>
      <c r="S134" s="135"/>
    </row>
    <row r="135" spans="1:19" s="124" customFormat="1" ht="59.25" hidden="1" customHeight="1" x14ac:dyDescent="0.25">
      <c r="A135" s="129" t="s">
        <v>684</v>
      </c>
      <c r="B135" s="129" t="s">
        <v>685</v>
      </c>
      <c r="C135" s="130"/>
      <c r="D135" s="131" t="s">
        <v>686</v>
      </c>
      <c r="E135" s="132">
        <f>E136</f>
        <v>0</v>
      </c>
      <c r="F135" s="132">
        <f t="shared" ref="F135:O136" si="25">F136</f>
        <v>0</v>
      </c>
      <c r="G135" s="132">
        <f t="shared" si="25"/>
        <v>0</v>
      </c>
      <c r="H135" s="132">
        <f t="shared" si="25"/>
        <v>0</v>
      </c>
      <c r="I135" s="132">
        <f t="shared" si="25"/>
        <v>0</v>
      </c>
      <c r="J135" s="132">
        <f t="shared" si="25"/>
        <v>0</v>
      </c>
      <c r="K135" s="132"/>
      <c r="L135" s="132"/>
      <c r="M135" s="132">
        <f t="shared" si="25"/>
        <v>0</v>
      </c>
      <c r="N135" s="132">
        <f t="shared" si="25"/>
        <v>0</v>
      </c>
      <c r="O135" s="132">
        <f t="shared" si="25"/>
        <v>0</v>
      </c>
      <c r="P135" s="132">
        <f t="shared" si="14"/>
        <v>0</v>
      </c>
      <c r="R135" s="134">
        <f t="shared" si="18"/>
        <v>0</v>
      </c>
      <c r="S135" s="135">
        <f t="shared" si="19"/>
        <v>0</v>
      </c>
    </row>
    <row r="136" spans="1:19" s="124" customFormat="1" ht="49.5" hidden="1" customHeight="1" outlineLevel="1" x14ac:dyDescent="0.25">
      <c r="A136" s="129" t="s">
        <v>687</v>
      </c>
      <c r="B136" s="129"/>
      <c r="C136" s="130"/>
      <c r="D136" s="131" t="s">
        <v>688</v>
      </c>
      <c r="E136" s="132">
        <f>F136+I136</f>
        <v>0</v>
      </c>
      <c r="F136" s="132">
        <f>F137</f>
        <v>0</v>
      </c>
      <c r="G136" s="132">
        <f t="shared" si="25"/>
        <v>0</v>
      </c>
      <c r="H136" s="132">
        <f t="shared" si="25"/>
        <v>0</v>
      </c>
      <c r="I136" s="132">
        <f t="shared" si="25"/>
        <v>0</v>
      </c>
      <c r="J136" s="132"/>
      <c r="K136" s="132"/>
      <c r="L136" s="132"/>
      <c r="M136" s="132">
        <f>SUM(M137:M145)</f>
        <v>0</v>
      </c>
      <c r="N136" s="132">
        <f>SUM(N137:N145)</f>
        <v>0</v>
      </c>
      <c r="O136" s="132"/>
      <c r="P136" s="132">
        <f t="shared" si="14"/>
        <v>0</v>
      </c>
      <c r="R136" s="134">
        <f t="shared" si="18"/>
        <v>0</v>
      </c>
      <c r="S136" s="135">
        <f t="shared" si="19"/>
        <v>0</v>
      </c>
    </row>
    <row r="137" spans="1:19" ht="70.5" hidden="1" customHeight="1" collapsed="1" x14ac:dyDescent="0.25">
      <c r="A137" s="136" t="s">
        <v>689</v>
      </c>
      <c r="B137" s="136" t="s">
        <v>147</v>
      </c>
      <c r="C137" s="137" t="s">
        <v>148</v>
      </c>
      <c r="D137" s="32" t="s">
        <v>149</v>
      </c>
      <c r="E137" s="169">
        <f>F137+I137</f>
        <v>0</v>
      </c>
      <c r="F137" s="169"/>
      <c r="G137" s="169"/>
      <c r="H137" s="169"/>
      <c r="I137" s="169"/>
      <c r="J137" s="169">
        <f>L137+O137</f>
        <v>0</v>
      </c>
      <c r="K137" s="169"/>
      <c r="L137" s="169"/>
      <c r="M137" s="169"/>
      <c r="N137" s="169"/>
      <c r="O137" s="169"/>
      <c r="P137" s="138">
        <f>E137+J137</f>
        <v>0</v>
      </c>
      <c r="R137" s="134">
        <f t="shared" si="18"/>
        <v>0</v>
      </c>
      <c r="S137" s="135">
        <f t="shared" si="19"/>
        <v>0</v>
      </c>
    </row>
    <row r="138" spans="1:19" s="214" customFormat="1" ht="31.5" hidden="1" x14ac:dyDescent="0.25">
      <c r="A138" s="210" t="s">
        <v>438</v>
      </c>
      <c r="B138" s="210" t="s">
        <v>439</v>
      </c>
      <c r="C138" s="211"/>
      <c r="D138" s="212" t="s">
        <v>440</v>
      </c>
      <c r="E138" s="438">
        <f>E139</f>
        <v>0</v>
      </c>
      <c r="F138" s="438">
        <f t="shared" ref="F138:O138" si="26">F139</f>
        <v>0</v>
      </c>
      <c r="G138" s="438">
        <f t="shared" si="26"/>
        <v>0</v>
      </c>
      <c r="H138" s="438">
        <f t="shared" si="26"/>
        <v>0</v>
      </c>
      <c r="I138" s="438">
        <f t="shared" si="26"/>
        <v>0</v>
      </c>
      <c r="J138" s="438">
        <f t="shared" si="26"/>
        <v>0</v>
      </c>
      <c r="K138" s="438">
        <f t="shared" si="26"/>
        <v>0</v>
      </c>
      <c r="L138" s="438">
        <f t="shared" si="26"/>
        <v>0</v>
      </c>
      <c r="M138" s="438">
        <f t="shared" si="26"/>
        <v>0</v>
      </c>
      <c r="N138" s="438">
        <f t="shared" si="26"/>
        <v>0</v>
      </c>
      <c r="O138" s="438">
        <f t="shared" si="26"/>
        <v>0</v>
      </c>
      <c r="P138" s="438">
        <f t="shared" ref="P138:P146" si="27">E138+J138</f>
        <v>0</v>
      </c>
      <c r="R138" s="145">
        <f t="shared" si="18"/>
        <v>0</v>
      </c>
      <c r="S138" s="73">
        <f>160600+415500</f>
        <v>576100</v>
      </c>
    </row>
    <row r="139" spans="1:19" s="214" customFormat="1" ht="31.5" hidden="1" x14ac:dyDescent="0.25">
      <c r="A139" s="210" t="s">
        <v>441</v>
      </c>
      <c r="B139" s="210"/>
      <c r="C139" s="211"/>
      <c r="D139" s="212" t="s">
        <v>442</v>
      </c>
      <c r="E139" s="438">
        <f>SUM(E140:E145)</f>
        <v>0</v>
      </c>
      <c r="F139" s="438">
        <f t="shared" ref="F139:P139" si="28">SUM(F140:F145)</f>
        <v>0</v>
      </c>
      <c r="G139" s="438">
        <f t="shared" si="28"/>
        <v>0</v>
      </c>
      <c r="H139" s="438">
        <f t="shared" si="28"/>
        <v>0</v>
      </c>
      <c r="I139" s="438">
        <f t="shared" si="28"/>
        <v>0</v>
      </c>
      <c r="J139" s="438">
        <f t="shared" si="28"/>
        <v>0</v>
      </c>
      <c r="K139" s="438">
        <f t="shared" si="28"/>
        <v>0</v>
      </c>
      <c r="L139" s="438">
        <f t="shared" si="28"/>
        <v>0</v>
      </c>
      <c r="M139" s="438">
        <f t="shared" si="28"/>
        <v>0</v>
      </c>
      <c r="N139" s="438">
        <f t="shared" si="28"/>
        <v>0</v>
      </c>
      <c r="O139" s="438">
        <f t="shared" si="28"/>
        <v>0</v>
      </c>
      <c r="P139" s="438">
        <f t="shared" si="28"/>
        <v>0</v>
      </c>
      <c r="R139" s="145">
        <f t="shared" si="18"/>
        <v>0</v>
      </c>
      <c r="S139" s="73">
        <f>S147-S140</f>
        <v>-942500</v>
      </c>
    </row>
    <row r="140" spans="1:19" s="7" customFormat="1" ht="47.25" hidden="1" x14ac:dyDescent="0.25">
      <c r="A140" s="140" t="s">
        <v>443</v>
      </c>
      <c r="B140" s="140" t="s">
        <v>147</v>
      </c>
      <c r="C140" s="141" t="s">
        <v>148</v>
      </c>
      <c r="D140" s="215" t="s">
        <v>149</v>
      </c>
      <c r="E140" s="413">
        <f t="shared" ref="E140:E146" si="29">F140+I140</f>
        <v>0</v>
      </c>
      <c r="F140" s="413"/>
      <c r="G140" s="413"/>
      <c r="H140" s="413"/>
      <c r="I140" s="413"/>
      <c r="J140" s="143">
        <f>L140+O140</f>
        <v>0</v>
      </c>
      <c r="K140" s="143"/>
      <c r="L140" s="143"/>
      <c r="M140" s="143"/>
      <c r="N140" s="143"/>
      <c r="O140" s="143"/>
      <c r="P140" s="143">
        <f t="shared" si="27"/>
        <v>0</v>
      </c>
      <c r="R140" s="145">
        <f t="shared" si="18"/>
        <v>0</v>
      </c>
      <c r="S140" s="73">
        <f>925000+17500</f>
        <v>942500</v>
      </c>
    </row>
    <row r="141" spans="1:19" s="7" customFormat="1" ht="122.25" hidden="1" customHeight="1" x14ac:dyDescent="0.25">
      <c r="A141" s="140" t="s">
        <v>444</v>
      </c>
      <c r="B141" s="140" t="s">
        <v>195</v>
      </c>
      <c r="C141" s="146" t="s">
        <v>185</v>
      </c>
      <c r="D141" s="429" t="s">
        <v>196</v>
      </c>
      <c r="E141" s="413">
        <f t="shared" si="29"/>
        <v>0</v>
      </c>
      <c r="F141" s="413"/>
      <c r="G141" s="413"/>
      <c r="H141" s="413"/>
      <c r="I141" s="413"/>
      <c r="J141" s="143">
        <f>L141+O141</f>
        <v>0</v>
      </c>
      <c r="K141" s="413"/>
      <c r="L141" s="413"/>
      <c r="M141" s="413"/>
      <c r="N141" s="413"/>
      <c r="O141" s="413"/>
      <c r="P141" s="143">
        <f>E141+J141</f>
        <v>0</v>
      </c>
      <c r="R141" s="145">
        <f t="shared" si="18"/>
        <v>0</v>
      </c>
      <c r="S141" s="73">
        <f>O141-K141</f>
        <v>0</v>
      </c>
    </row>
    <row r="142" spans="1:19" s="7" customFormat="1" ht="22.5" hidden="1" customHeight="1" x14ac:dyDescent="0.25">
      <c r="A142" s="136" t="s">
        <v>445</v>
      </c>
      <c r="B142" s="136" t="s">
        <v>446</v>
      </c>
      <c r="C142" s="192" t="s">
        <v>447</v>
      </c>
      <c r="D142" s="170" t="s">
        <v>448</v>
      </c>
      <c r="E142" s="413">
        <f t="shared" si="29"/>
        <v>0</v>
      </c>
      <c r="F142" s="413"/>
      <c r="G142" s="413"/>
      <c r="H142" s="413"/>
      <c r="I142" s="413"/>
      <c r="J142" s="143">
        <f>L142+O142</f>
        <v>0</v>
      </c>
      <c r="K142" s="143"/>
      <c r="L142" s="143"/>
      <c r="M142" s="143"/>
      <c r="N142" s="143"/>
      <c r="O142" s="143"/>
      <c r="P142" s="143">
        <f t="shared" si="27"/>
        <v>0</v>
      </c>
      <c r="R142" s="145">
        <f t="shared" si="18"/>
        <v>0</v>
      </c>
      <c r="S142" s="73">
        <f t="shared" si="19"/>
        <v>0</v>
      </c>
    </row>
    <row r="143" spans="1:19" s="7" customFormat="1" hidden="1" x14ac:dyDescent="0.25">
      <c r="A143" s="140" t="s">
        <v>449</v>
      </c>
      <c r="B143" s="140" t="s">
        <v>450</v>
      </c>
      <c r="C143" s="141" t="s">
        <v>152</v>
      </c>
      <c r="D143" s="171" t="s">
        <v>451</v>
      </c>
      <c r="E143" s="423">
        <f t="shared" si="29"/>
        <v>0</v>
      </c>
      <c r="F143" s="423"/>
      <c r="G143" s="161"/>
      <c r="H143" s="161"/>
      <c r="I143" s="161"/>
      <c r="J143" s="161"/>
      <c r="K143" s="161">
        <v>0</v>
      </c>
      <c r="L143" s="161"/>
      <c r="M143" s="161"/>
      <c r="N143" s="161"/>
      <c r="O143" s="161"/>
      <c r="P143" s="161">
        <f t="shared" si="27"/>
        <v>0</v>
      </c>
      <c r="R143" s="145">
        <f t="shared" si="18"/>
        <v>0</v>
      </c>
      <c r="S143" s="73">
        <f t="shared" si="19"/>
        <v>0</v>
      </c>
    </row>
    <row r="144" spans="1:19" s="7" customFormat="1" hidden="1" x14ac:dyDescent="0.25">
      <c r="A144" s="140" t="s">
        <v>452</v>
      </c>
      <c r="B144" s="140" t="s">
        <v>453</v>
      </c>
      <c r="C144" s="141" t="s">
        <v>151</v>
      </c>
      <c r="D144" s="171" t="s">
        <v>454</v>
      </c>
      <c r="E144" s="423">
        <f t="shared" si="29"/>
        <v>0</v>
      </c>
      <c r="F144" s="161"/>
      <c r="G144" s="439"/>
      <c r="H144" s="439"/>
      <c r="I144" s="439"/>
      <c r="J144" s="161">
        <f>L144+O144</f>
        <v>0</v>
      </c>
      <c r="K144" s="439"/>
      <c r="L144" s="439"/>
      <c r="M144" s="439"/>
      <c r="N144" s="439"/>
      <c r="O144" s="439"/>
      <c r="P144" s="161">
        <f>E144+J144</f>
        <v>0</v>
      </c>
      <c r="R144" s="145">
        <f>K144-O144</f>
        <v>0</v>
      </c>
      <c r="S144" s="73">
        <f>O144-K144</f>
        <v>0</v>
      </c>
    </row>
    <row r="145" spans="1:19" s="7" customFormat="1" hidden="1" x14ac:dyDescent="0.25">
      <c r="A145" s="140" t="s">
        <v>455</v>
      </c>
      <c r="B145" s="140" t="s">
        <v>456</v>
      </c>
      <c r="C145" s="141" t="s">
        <v>151</v>
      </c>
      <c r="D145" s="171" t="s">
        <v>108</v>
      </c>
      <c r="E145" s="413">
        <f t="shared" si="29"/>
        <v>0</v>
      </c>
      <c r="F145" s="143"/>
      <c r="G145" s="217"/>
      <c r="H145" s="217"/>
      <c r="I145" s="217"/>
      <c r="J145" s="143">
        <f>L145+O145</f>
        <v>0</v>
      </c>
      <c r="K145" s="217"/>
      <c r="L145" s="217"/>
      <c r="M145" s="217"/>
      <c r="N145" s="217"/>
      <c r="O145" s="217"/>
      <c r="P145" s="143">
        <f t="shared" si="27"/>
        <v>0</v>
      </c>
      <c r="R145" s="145">
        <f t="shared" si="18"/>
        <v>0</v>
      </c>
      <c r="S145" s="73">
        <f t="shared" si="19"/>
        <v>0</v>
      </c>
    </row>
    <row r="146" spans="1:19" s="7" customFormat="1" ht="173.25" hidden="1" x14ac:dyDescent="0.25">
      <c r="A146" s="140"/>
      <c r="B146" s="140"/>
      <c r="C146" s="141"/>
      <c r="D146" s="440" t="s">
        <v>825</v>
      </c>
      <c r="E146" s="413">
        <f t="shared" si="29"/>
        <v>0</v>
      </c>
      <c r="F146" s="426"/>
      <c r="G146" s="219"/>
      <c r="H146" s="219"/>
      <c r="I146" s="219"/>
      <c r="J146" s="143">
        <f>L146+O146</f>
        <v>0</v>
      </c>
      <c r="K146" s="219"/>
      <c r="L146" s="219"/>
      <c r="M146" s="219"/>
      <c r="N146" s="219"/>
      <c r="O146" s="219"/>
      <c r="P146" s="143">
        <f t="shared" si="27"/>
        <v>0</v>
      </c>
      <c r="R146" s="145"/>
      <c r="S146" s="73"/>
    </row>
    <row r="147" spans="1:19" s="124" customFormat="1" ht="21" customHeight="1" x14ac:dyDescent="0.25">
      <c r="A147" s="220"/>
      <c r="B147" s="220"/>
      <c r="C147" s="220"/>
      <c r="D147" s="221" t="s">
        <v>457</v>
      </c>
      <c r="E147" s="222">
        <f>E12+E34+E71+E84+E94+E118+E138+E135+0.0000001</f>
        <v>1100000.0000000999</v>
      </c>
      <c r="F147" s="222">
        <f>F12+F34+F71+F84+F94+F118+F138+F135+0.00001</f>
        <v>1100000.0001100001</v>
      </c>
      <c r="G147" s="222">
        <f t="shared" ref="G147:O147" si="30">G12+G34+G71+G84+G94+G118+G138+G135</f>
        <v>0</v>
      </c>
      <c r="H147" s="222">
        <f t="shared" si="30"/>
        <v>0</v>
      </c>
      <c r="I147" s="222">
        <f t="shared" si="30"/>
        <v>0</v>
      </c>
      <c r="J147" s="222">
        <f t="shared" si="30"/>
        <v>6500000</v>
      </c>
      <c r="K147" s="222">
        <f t="shared" si="30"/>
        <v>6500000.0001099994</v>
      </c>
      <c r="L147" s="222">
        <f t="shared" si="30"/>
        <v>0</v>
      </c>
      <c r="M147" s="222">
        <f t="shared" si="30"/>
        <v>0</v>
      </c>
      <c r="N147" s="222">
        <f t="shared" si="30"/>
        <v>0</v>
      </c>
      <c r="O147" s="222">
        <f t="shared" si="30"/>
        <v>6500000.0001099994</v>
      </c>
      <c r="P147" s="222">
        <f>P12+P34+P71+P84+P94+P118+P138+P135+0.00001</f>
        <v>7600000.0000099996</v>
      </c>
      <c r="R147" s="134">
        <f t="shared" si="18"/>
        <v>0</v>
      </c>
      <c r="S147" s="135">
        <f t="shared" si="19"/>
        <v>0</v>
      </c>
    </row>
    <row r="148" spans="1:19" s="8" customFormat="1" ht="18" hidden="1" customHeight="1" x14ac:dyDescent="0.25">
      <c r="A148" s="223"/>
      <c r="B148" s="223"/>
      <c r="C148" s="224"/>
      <c r="D148" s="225"/>
      <c r="E148" s="226"/>
      <c r="F148" s="227"/>
      <c r="G148" s="227"/>
      <c r="H148" s="228"/>
      <c r="I148" s="227"/>
      <c r="J148" s="229"/>
      <c r="K148" s="228"/>
      <c r="L148" s="228"/>
      <c r="M148" s="228"/>
      <c r="N148" s="227"/>
      <c r="O148" s="227"/>
      <c r="P148" s="227"/>
      <c r="S148" s="73">
        <f t="shared" si="19"/>
        <v>0</v>
      </c>
    </row>
    <row r="149" spans="1:19" ht="10.5" customHeight="1" x14ac:dyDescent="0.25"/>
    <row r="150" spans="1:19" x14ac:dyDescent="0.25">
      <c r="E150" s="230"/>
      <c r="J150" s="230"/>
      <c r="K150" s="231"/>
      <c r="N150" s="135"/>
      <c r="P150" s="231"/>
    </row>
    <row r="151" spans="1:19" x14ac:dyDescent="0.25">
      <c r="E151" s="230"/>
      <c r="F151" s="231"/>
      <c r="H151" s="231"/>
      <c r="J151" s="230"/>
      <c r="K151" s="231"/>
      <c r="P151" s="231"/>
    </row>
    <row r="152" spans="1:19" s="8" customFormat="1" ht="35.25" customHeight="1" x14ac:dyDescent="0.25">
      <c r="A152" s="232"/>
      <c r="B152" s="232"/>
      <c r="D152" s="72" t="s">
        <v>727</v>
      </c>
      <c r="E152" s="60"/>
      <c r="I152" s="73"/>
      <c r="J152" s="233"/>
      <c r="K152" s="73" t="s">
        <v>728</v>
      </c>
      <c r="L152" s="73"/>
      <c r="N152" s="73"/>
      <c r="P152" s="73"/>
      <c r="S152" s="73" t="e">
        <f>O152-K152</f>
        <v>#VALUE!</v>
      </c>
    </row>
    <row r="153" spans="1:19" x14ac:dyDescent="0.25">
      <c r="E153" s="230"/>
      <c r="H153" s="231"/>
      <c r="J153" s="230"/>
      <c r="L153" s="135"/>
      <c r="P153" s="231"/>
    </row>
    <row r="154" spans="1:19" hidden="1" x14ac:dyDescent="0.25">
      <c r="E154" s="230"/>
      <c r="F154" s="231"/>
      <c r="J154" s="234"/>
      <c r="L154" s="135"/>
      <c r="P154" s="231"/>
    </row>
    <row r="155" spans="1:19" hidden="1" x14ac:dyDescent="0.25">
      <c r="E155" s="411">
        <v>4776696</v>
      </c>
      <c r="F155" s="411">
        <v>80000</v>
      </c>
      <c r="G155" s="411">
        <v>0</v>
      </c>
      <c r="H155" s="411">
        <v>726809</v>
      </c>
      <c r="I155" s="411">
        <v>4696696</v>
      </c>
      <c r="J155" s="411">
        <v>-4776696</v>
      </c>
      <c r="K155" s="411">
        <v>-4776696</v>
      </c>
      <c r="L155" s="411">
        <v>0</v>
      </c>
      <c r="M155" s="411">
        <v>0</v>
      </c>
      <c r="N155" s="411">
        <v>0</v>
      </c>
      <c r="O155" s="411">
        <v>-4776696</v>
      </c>
      <c r="P155" s="411">
        <v>0</v>
      </c>
    </row>
    <row r="156" spans="1:19" hidden="1" x14ac:dyDescent="0.25">
      <c r="E156" s="234">
        <f>E147-E155</f>
        <v>-3676695.9999999003</v>
      </c>
      <c r="F156" s="234">
        <f t="shared" ref="F156:P156" si="31">F147-F155</f>
        <v>1020000.0001100001</v>
      </c>
      <c r="G156" s="234">
        <f t="shared" si="31"/>
        <v>0</v>
      </c>
      <c r="H156" s="234">
        <f t="shared" si="31"/>
        <v>-726809</v>
      </c>
      <c r="I156" s="234">
        <f t="shared" si="31"/>
        <v>-4696696</v>
      </c>
      <c r="J156" s="234">
        <f t="shared" si="31"/>
        <v>11276696</v>
      </c>
      <c r="K156" s="234">
        <f t="shared" si="31"/>
        <v>11276696.00011</v>
      </c>
      <c r="L156" s="234">
        <f t="shared" si="31"/>
        <v>0</v>
      </c>
      <c r="M156" s="234">
        <f t="shared" si="31"/>
        <v>0</v>
      </c>
      <c r="N156" s="234">
        <f t="shared" si="31"/>
        <v>0</v>
      </c>
      <c r="O156" s="234">
        <f t="shared" si="31"/>
        <v>11276696.00011</v>
      </c>
      <c r="P156" s="234">
        <f t="shared" si="31"/>
        <v>7600000.0000099996</v>
      </c>
    </row>
    <row r="157" spans="1:19" x14ac:dyDescent="0.25">
      <c r="E157" s="234"/>
    </row>
    <row r="158" spans="1:19" x14ac:dyDescent="0.25">
      <c r="E158" s="230"/>
    </row>
    <row r="204" spans="6:6" x14ac:dyDescent="0.25">
      <c r="F204" s="6" t="s">
        <v>708</v>
      </c>
    </row>
  </sheetData>
  <autoFilter ref="A11:S148" xr:uid="{00000000-0009-0000-0000-000003000000}">
    <filterColumn colId="15">
      <customFilters>
        <customFilter operator="notEqual" val=" "/>
      </customFilters>
    </filterColumn>
  </autoFilter>
  <mergeCells count="25">
    <mergeCell ref="J7:O7"/>
    <mergeCell ref="P7:P10"/>
    <mergeCell ref="E8:E10"/>
    <mergeCell ref="F8:F10"/>
    <mergeCell ref="G8:H8"/>
    <mergeCell ref="I8:I10"/>
    <mergeCell ref="J8:J10"/>
    <mergeCell ref="K8:K10"/>
    <mergeCell ref="L8:L10"/>
    <mergeCell ref="M8:N8"/>
    <mergeCell ref="O8:O10"/>
    <mergeCell ref="G9:G10"/>
    <mergeCell ref="H9:H10"/>
    <mergeCell ref="M9:M10"/>
    <mergeCell ref="N9:N10"/>
    <mergeCell ref="K1:P1"/>
    <mergeCell ref="L2:P2"/>
    <mergeCell ref="A3:P3"/>
    <mergeCell ref="A4:P4"/>
    <mergeCell ref="D5:E5"/>
    <mergeCell ref="A7:A10"/>
    <mergeCell ref="B7:B10"/>
    <mergeCell ref="C7:C10"/>
    <mergeCell ref="D7:D10"/>
    <mergeCell ref="E7:I7"/>
  </mergeCells>
  <pageMargins left="0.23622047244094491" right="0.19685039370078741" top="0.86614173228346458" bottom="0.47244094488188981" header="0.23622047244094491" footer="0.27559055118110237"/>
  <pageSetup paperSize="9" scale="42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filterMode="1">
    <pageSetUpPr fitToPage="1"/>
  </sheetPr>
  <dimension ref="A1:S148"/>
  <sheetViews>
    <sheetView showZeros="0" view="pageBreakPreview" zoomScale="70" zoomScaleNormal="60" zoomScaleSheetLayoutView="70" workbookViewId="0">
      <pane xSplit="4" ySplit="11" topLeftCell="E129" activePane="bottomRight" state="frozen"/>
      <selection pane="topRight" activeCell="E1" sqref="E1"/>
      <selection pane="bottomLeft" activeCell="A12" sqref="A12"/>
      <selection pane="bottomRight" activeCell="A139" sqref="A139"/>
    </sheetView>
  </sheetViews>
  <sheetFormatPr defaultRowHeight="15.75" outlineLevelRow="1" x14ac:dyDescent="0.25"/>
  <cols>
    <col min="1" max="1" width="16.85546875" style="122" customWidth="1"/>
    <col min="2" max="2" width="17.140625" style="122" customWidth="1"/>
    <col min="3" max="3" width="19.7109375" style="6" customWidth="1"/>
    <col min="4" max="4" width="68.85546875" style="123" customWidth="1"/>
    <col min="5" max="5" width="19.140625" style="124" customWidth="1"/>
    <col min="6" max="6" width="21.140625" style="6" customWidth="1"/>
    <col min="7" max="7" width="18.7109375" style="6" customWidth="1"/>
    <col min="8" max="8" width="18" style="6" customWidth="1"/>
    <col min="9" max="9" width="16.85546875" style="6" customWidth="1"/>
    <col min="10" max="10" width="19.5703125" style="124" customWidth="1"/>
    <col min="11" max="11" width="19.140625" style="6" customWidth="1"/>
    <col min="12" max="12" width="16.7109375" style="6" customWidth="1"/>
    <col min="13" max="13" width="15" style="6" customWidth="1"/>
    <col min="14" max="14" width="15.7109375" style="6" customWidth="1"/>
    <col min="15" max="15" width="17.7109375" style="6" customWidth="1"/>
    <col min="16" max="16" width="18.5703125" style="6" customWidth="1"/>
    <col min="17" max="17" width="17.7109375" style="6" bestFit="1" customWidth="1"/>
    <col min="18" max="18" width="22.140625" style="6" customWidth="1"/>
    <col min="19" max="19" width="17.42578125" style="6" bestFit="1" customWidth="1"/>
    <col min="20" max="256" width="9.140625" style="6"/>
    <col min="257" max="257" width="16.85546875" style="6" customWidth="1"/>
    <col min="258" max="258" width="17.140625" style="6" customWidth="1"/>
    <col min="259" max="259" width="19.7109375" style="6" customWidth="1"/>
    <col min="260" max="260" width="68.85546875" style="6" customWidth="1"/>
    <col min="261" max="261" width="19.140625" style="6" customWidth="1"/>
    <col min="262" max="262" width="21.140625" style="6" customWidth="1"/>
    <col min="263" max="263" width="18.7109375" style="6" customWidth="1"/>
    <col min="264" max="264" width="18" style="6" customWidth="1"/>
    <col min="265" max="265" width="16.85546875" style="6" customWidth="1"/>
    <col min="266" max="266" width="19.5703125" style="6" customWidth="1"/>
    <col min="267" max="267" width="19.140625" style="6" customWidth="1"/>
    <col min="268" max="268" width="16.7109375" style="6" customWidth="1"/>
    <col min="269" max="269" width="15" style="6" customWidth="1"/>
    <col min="270" max="270" width="15.7109375" style="6" customWidth="1"/>
    <col min="271" max="271" width="17.7109375" style="6" customWidth="1"/>
    <col min="272" max="272" width="18.5703125" style="6" customWidth="1"/>
    <col min="273" max="273" width="17.7109375" style="6" bestFit="1" customWidth="1"/>
    <col min="274" max="274" width="22.140625" style="6" customWidth="1"/>
    <col min="275" max="275" width="17.42578125" style="6" bestFit="1" customWidth="1"/>
    <col min="276" max="512" width="9.140625" style="6"/>
    <col min="513" max="513" width="16.85546875" style="6" customWidth="1"/>
    <col min="514" max="514" width="17.140625" style="6" customWidth="1"/>
    <col min="515" max="515" width="19.7109375" style="6" customWidth="1"/>
    <col min="516" max="516" width="68.85546875" style="6" customWidth="1"/>
    <col min="517" max="517" width="19.140625" style="6" customWidth="1"/>
    <col min="518" max="518" width="21.140625" style="6" customWidth="1"/>
    <col min="519" max="519" width="18.7109375" style="6" customWidth="1"/>
    <col min="520" max="520" width="18" style="6" customWidth="1"/>
    <col min="521" max="521" width="16.85546875" style="6" customWidth="1"/>
    <col min="522" max="522" width="19.5703125" style="6" customWidth="1"/>
    <col min="523" max="523" width="19.140625" style="6" customWidth="1"/>
    <col min="524" max="524" width="16.7109375" style="6" customWidth="1"/>
    <col min="525" max="525" width="15" style="6" customWidth="1"/>
    <col min="526" max="526" width="15.7109375" style="6" customWidth="1"/>
    <col min="527" max="527" width="17.7109375" style="6" customWidth="1"/>
    <col min="528" max="528" width="18.5703125" style="6" customWidth="1"/>
    <col min="529" max="529" width="17.7109375" style="6" bestFit="1" customWidth="1"/>
    <col min="530" max="530" width="22.140625" style="6" customWidth="1"/>
    <col min="531" max="531" width="17.42578125" style="6" bestFit="1" customWidth="1"/>
    <col min="532" max="768" width="9.140625" style="6"/>
    <col min="769" max="769" width="16.85546875" style="6" customWidth="1"/>
    <col min="770" max="770" width="17.140625" style="6" customWidth="1"/>
    <col min="771" max="771" width="19.7109375" style="6" customWidth="1"/>
    <col min="772" max="772" width="68.85546875" style="6" customWidth="1"/>
    <col min="773" max="773" width="19.140625" style="6" customWidth="1"/>
    <col min="774" max="774" width="21.140625" style="6" customWidth="1"/>
    <col min="775" max="775" width="18.7109375" style="6" customWidth="1"/>
    <col min="776" max="776" width="18" style="6" customWidth="1"/>
    <col min="777" max="777" width="16.85546875" style="6" customWidth="1"/>
    <col min="778" max="778" width="19.5703125" style="6" customWidth="1"/>
    <col min="779" max="779" width="19.140625" style="6" customWidth="1"/>
    <col min="780" max="780" width="16.7109375" style="6" customWidth="1"/>
    <col min="781" max="781" width="15" style="6" customWidth="1"/>
    <col min="782" max="782" width="15.7109375" style="6" customWidth="1"/>
    <col min="783" max="783" width="17.7109375" style="6" customWidth="1"/>
    <col min="784" max="784" width="18.5703125" style="6" customWidth="1"/>
    <col min="785" max="785" width="17.7109375" style="6" bestFit="1" customWidth="1"/>
    <col min="786" max="786" width="22.140625" style="6" customWidth="1"/>
    <col min="787" max="787" width="17.42578125" style="6" bestFit="1" customWidth="1"/>
    <col min="788" max="1024" width="9.140625" style="6"/>
    <col min="1025" max="1025" width="16.85546875" style="6" customWidth="1"/>
    <col min="1026" max="1026" width="17.140625" style="6" customWidth="1"/>
    <col min="1027" max="1027" width="19.7109375" style="6" customWidth="1"/>
    <col min="1028" max="1028" width="68.85546875" style="6" customWidth="1"/>
    <col min="1029" max="1029" width="19.140625" style="6" customWidth="1"/>
    <col min="1030" max="1030" width="21.140625" style="6" customWidth="1"/>
    <col min="1031" max="1031" width="18.7109375" style="6" customWidth="1"/>
    <col min="1032" max="1032" width="18" style="6" customWidth="1"/>
    <col min="1033" max="1033" width="16.85546875" style="6" customWidth="1"/>
    <col min="1034" max="1034" width="19.5703125" style="6" customWidth="1"/>
    <col min="1035" max="1035" width="19.140625" style="6" customWidth="1"/>
    <col min="1036" max="1036" width="16.7109375" style="6" customWidth="1"/>
    <col min="1037" max="1037" width="15" style="6" customWidth="1"/>
    <col min="1038" max="1038" width="15.7109375" style="6" customWidth="1"/>
    <col min="1039" max="1039" width="17.7109375" style="6" customWidth="1"/>
    <col min="1040" max="1040" width="18.5703125" style="6" customWidth="1"/>
    <col min="1041" max="1041" width="17.7109375" style="6" bestFit="1" customWidth="1"/>
    <col min="1042" max="1042" width="22.140625" style="6" customWidth="1"/>
    <col min="1043" max="1043" width="17.42578125" style="6" bestFit="1" customWidth="1"/>
    <col min="1044" max="1280" width="9.140625" style="6"/>
    <col min="1281" max="1281" width="16.85546875" style="6" customWidth="1"/>
    <col min="1282" max="1282" width="17.140625" style="6" customWidth="1"/>
    <col min="1283" max="1283" width="19.7109375" style="6" customWidth="1"/>
    <col min="1284" max="1284" width="68.85546875" style="6" customWidth="1"/>
    <col min="1285" max="1285" width="19.140625" style="6" customWidth="1"/>
    <col min="1286" max="1286" width="21.140625" style="6" customWidth="1"/>
    <col min="1287" max="1287" width="18.7109375" style="6" customWidth="1"/>
    <col min="1288" max="1288" width="18" style="6" customWidth="1"/>
    <col min="1289" max="1289" width="16.85546875" style="6" customWidth="1"/>
    <col min="1290" max="1290" width="19.5703125" style="6" customWidth="1"/>
    <col min="1291" max="1291" width="19.140625" style="6" customWidth="1"/>
    <col min="1292" max="1292" width="16.7109375" style="6" customWidth="1"/>
    <col min="1293" max="1293" width="15" style="6" customWidth="1"/>
    <col min="1294" max="1294" width="15.7109375" style="6" customWidth="1"/>
    <col min="1295" max="1295" width="17.7109375" style="6" customWidth="1"/>
    <col min="1296" max="1296" width="18.5703125" style="6" customWidth="1"/>
    <col min="1297" max="1297" width="17.7109375" style="6" bestFit="1" customWidth="1"/>
    <col min="1298" max="1298" width="22.140625" style="6" customWidth="1"/>
    <col min="1299" max="1299" width="17.42578125" style="6" bestFit="1" customWidth="1"/>
    <col min="1300" max="1536" width="9.140625" style="6"/>
    <col min="1537" max="1537" width="16.85546875" style="6" customWidth="1"/>
    <col min="1538" max="1538" width="17.140625" style="6" customWidth="1"/>
    <col min="1539" max="1539" width="19.7109375" style="6" customWidth="1"/>
    <col min="1540" max="1540" width="68.85546875" style="6" customWidth="1"/>
    <col min="1541" max="1541" width="19.140625" style="6" customWidth="1"/>
    <col min="1542" max="1542" width="21.140625" style="6" customWidth="1"/>
    <col min="1543" max="1543" width="18.7109375" style="6" customWidth="1"/>
    <col min="1544" max="1544" width="18" style="6" customWidth="1"/>
    <col min="1545" max="1545" width="16.85546875" style="6" customWidth="1"/>
    <col min="1546" max="1546" width="19.5703125" style="6" customWidth="1"/>
    <col min="1547" max="1547" width="19.140625" style="6" customWidth="1"/>
    <col min="1548" max="1548" width="16.7109375" style="6" customWidth="1"/>
    <col min="1549" max="1549" width="15" style="6" customWidth="1"/>
    <col min="1550" max="1550" width="15.7109375" style="6" customWidth="1"/>
    <col min="1551" max="1551" width="17.7109375" style="6" customWidth="1"/>
    <col min="1552" max="1552" width="18.5703125" style="6" customWidth="1"/>
    <col min="1553" max="1553" width="17.7109375" style="6" bestFit="1" customWidth="1"/>
    <col min="1554" max="1554" width="22.140625" style="6" customWidth="1"/>
    <col min="1555" max="1555" width="17.42578125" style="6" bestFit="1" customWidth="1"/>
    <col min="1556" max="1792" width="9.140625" style="6"/>
    <col min="1793" max="1793" width="16.85546875" style="6" customWidth="1"/>
    <col min="1794" max="1794" width="17.140625" style="6" customWidth="1"/>
    <col min="1795" max="1795" width="19.7109375" style="6" customWidth="1"/>
    <col min="1796" max="1796" width="68.85546875" style="6" customWidth="1"/>
    <col min="1797" max="1797" width="19.140625" style="6" customWidth="1"/>
    <col min="1798" max="1798" width="21.140625" style="6" customWidth="1"/>
    <col min="1799" max="1799" width="18.7109375" style="6" customWidth="1"/>
    <col min="1800" max="1800" width="18" style="6" customWidth="1"/>
    <col min="1801" max="1801" width="16.85546875" style="6" customWidth="1"/>
    <col min="1802" max="1802" width="19.5703125" style="6" customWidth="1"/>
    <col min="1803" max="1803" width="19.140625" style="6" customWidth="1"/>
    <col min="1804" max="1804" width="16.7109375" style="6" customWidth="1"/>
    <col min="1805" max="1805" width="15" style="6" customWidth="1"/>
    <col min="1806" max="1806" width="15.7109375" style="6" customWidth="1"/>
    <col min="1807" max="1807" width="17.7109375" style="6" customWidth="1"/>
    <col min="1808" max="1808" width="18.5703125" style="6" customWidth="1"/>
    <col min="1809" max="1809" width="17.7109375" style="6" bestFit="1" customWidth="1"/>
    <col min="1810" max="1810" width="22.140625" style="6" customWidth="1"/>
    <col min="1811" max="1811" width="17.42578125" style="6" bestFit="1" customWidth="1"/>
    <col min="1812" max="2048" width="9.140625" style="6"/>
    <col min="2049" max="2049" width="16.85546875" style="6" customWidth="1"/>
    <col min="2050" max="2050" width="17.140625" style="6" customWidth="1"/>
    <col min="2051" max="2051" width="19.7109375" style="6" customWidth="1"/>
    <col min="2052" max="2052" width="68.85546875" style="6" customWidth="1"/>
    <col min="2053" max="2053" width="19.140625" style="6" customWidth="1"/>
    <col min="2054" max="2054" width="21.140625" style="6" customWidth="1"/>
    <col min="2055" max="2055" width="18.7109375" style="6" customWidth="1"/>
    <col min="2056" max="2056" width="18" style="6" customWidth="1"/>
    <col min="2057" max="2057" width="16.85546875" style="6" customWidth="1"/>
    <col min="2058" max="2058" width="19.5703125" style="6" customWidth="1"/>
    <col min="2059" max="2059" width="19.140625" style="6" customWidth="1"/>
    <col min="2060" max="2060" width="16.7109375" style="6" customWidth="1"/>
    <col min="2061" max="2061" width="15" style="6" customWidth="1"/>
    <col min="2062" max="2062" width="15.7109375" style="6" customWidth="1"/>
    <col min="2063" max="2063" width="17.7109375" style="6" customWidth="1"/>
    <col min="2064" max="2064" width="18.5703125" style="6" customWidth="1"/>
    <col min="2065" max="2065" width="17.7109375" style="6" bestFit="1" customWidth="1"/>
    <col min="2066" max="2066" width="22.140625" style="6" customWidth="1"/>
    <col min="2067" max="2067" width="17.42578125" style="6" bestFit="1" customWidth="1"/>
    <col min="2068" max="2304" width="9.140625" style="6"/>
    <col min="2305" max="2305" width="16.85546875" style="6" customWidth="1"/>
    <col min="2306" max="2306" width="17.140625" style="6" customWidth="1"/>
    <col min="2307" max="2307" width="19.7109375" style="6" customWidth="1"/>
    <col min="2308" max="2308" width="68.85546875" style="6" customWidth="1"/>
    <col min="2309" max="2309" width="19.140625" style="6" customWidth="1"/>
    <col min="2310" max="2310" width="21.140625" style="6" customWidth="1"/>
    <col min="2311" max="2311" width="18.7109375" style="6" customWidth="1"/>
    <col min="2312" max="2312" width="18" style="6" customWidth="1"/>
    <col min="2313" max="2313" width="16.85546875" style="6" customWidth="1"/>
    <col min="2314" max="2314" width="19.5703125" style="6" customWidth="1"/>
    <col min="2315" max="2315" width="19.140625" style="6" customWidth="1"/>
    <col min="2316" max="2316" width="16.7109375" style="6" customWidth="1"/>
    <col min="2317" max="2317" width="15" style="6" customWidth="1"/>
    <col min="2318" max="2318" width="15.7109375" style="6" customWidth="1"/>
    <col min="2319" max="2319" width="17.7109375" style="6" customWidth="1"/>
    <col min="2320" max="2320" width="18.5703125" style="6" customWidth="1"/>
    <col min="2321" max="2321" width="17.7109375" style="6" bestFit="1" customWidth="1"/>
    <col min="2322" max="2322" width="22.140625" style="6" customWidth="1"/>
    <col min="2323" max="2323" width="17.42578125" style="6" bestFit="1" customWidth="1"/>
    <col min="2324" max="2560" width="9.140625" style="6"/>
    <col min="2561" max="2561" width="16.85546875" style="6" customWidth="1"/>
    <col min="2562" max="2562" width="17.140625" style="6" customWidth="1"/>
    <col min="2563" max="2563" width="19.7109375" style="6" customWidth="1"/>
    <col min="2564" max="2564" width="68.85546875" style="6" customWidth="1"/>
    <col min="2565" max="2565" width="19.140625" style="6" customWidth="1"/>
    <col min="2566" max="2566" width="21.140625" style="6" customWidth="1"/>
    <col min="2567" max="2567" width="18.7109375" style="6" customWidth="1"/>
    <col min="2568" max="2568" width="18" style="6" customWidth="1"/>
    <col min="2569" max="2569" width="16.85546875" style="6" customWidth="1"/>
    <col min="2570" max="2570" width="19.5703125" style="6" customWidth="1"/>
    <col min="2571" max="2571" width="19.140625" style="6" customWidth="1"/>
    <col min="2572" max="2572" width="16.7109375" style="6" customWidth="1"/>
    <col min="2573" max="2573" width="15" style="6" customWidth="1"/>
    <col min="2574" max="2574" width="15.7109375" style="6" customWidth="1"/>
    <col min="2575" max="2575" width="17.7109375" style="6" customWidth="1"/>
    <col min="2576" max="2576" width="18.5703125" style="6" customWidth="1"/>
    <col min="2577" max="2577" width="17.7109375" style="6" bestFit="1" customWidth="1"/>
    <col min="2578" max="2578" width="22.140625" style="6" customWidth="1"/>
    <col min="2579" max="2579" width="17.42578125" style="6" bestFit="1" customWidth="1"/>
    <col min="2580" max="2816" width="9.140625" style="6"/>
    <col min="2817" max="2817" width="16.85546875" style="6" customWidth="1"/>
    <col min="2818" max="2818" width="17.140625" style="6" customWidth="1"/>
    <col min="2819" max="2819" width="19.7109375" style="6" customWidth="1"/>
    <col min="2820" max="2820" width="68.85546875" style="6" customWidth="1"/>
    <col min="2821" max="2821" width="19.140625" style="6" customWidth="1"/>
    <col min="2822" max="2822" width="21.140625" style="6" customWidth="1"/>
    <col min="2823" max="2823" width="18.7109375" style="6" customWidth="1"/>
    <col min="2824" max="2824" width="18" style="6" customWidth="1"/>
    <col min="2825" max="2825" width="16.85546875" style="6" customWidth="1"/>
    <col min="2826" max="2826" width="19.5703125" style="6" customWidth="1"/>
    <col min="2827" max="2827" width="19.140625" style="6" customWidth="1"/>
    <col min="2828" max="2828" width="16.7109375" style="6" customWidth="1"/>
    <col min="2829" max="2829" width="15" style="6" customWidth="1"/>
    <col min="2830" max="2830" width="15.7109375" style="6" customWidth="1"/>
    <col min="2831" max="2831" width="17.7109375" style="6" customWidth="1"/>
    <col min="2832" max="2832" width="18.5703125" style="6" customWidth="1"/>
    <col min="2833" max="2833" width="17.7109375" style="6" bestFit="1" customWidth="1"/>
    <col min="2834" max="2834" width="22.140625" style="6" customWidth="1"/>
    <col min="2835" max="2835" width="17.42578125" style="6" bestFit="1" customWidth="1"/>
    <col min="2836" max="3072" width="9.140625" style="6"/>
    <col min="3073" max="3073" width="16.85546875" style="6" customWidth="1"/>
    <col min="3074" max="3074" width="17.140625" style="6" customWidth="1"/>
    <col min="3075" max="3075" width="19.7109375" style="6" customWidth="1"/>
    <col min="3076" max="3076" width="68.85546875" style="6" customWidth="1"/>
    <col min="3077" max="3077" width="19.140625" style="6" customWidth="1"/>
    <col min="3078" max="3078" width="21.140625" style="6" customWidth="1"/>
    <col min="3079" max="3079" width="18.7109375" style="6" customWidth="1"/>
    <col min="3080" max="3080" width="18" style="6" customWidth="1"/>
    <col min="3081" max="3081" width="16.85546875" style="6" customWidth="1"/>
    <col min="3082" max="3082" width="19.5703125" style="6" customWidth="1"/>
    <col min="3083" max="3083" width="19.140625" style="6" customWidth="1"/>
    <col min="3084" max="3084" width="16.7109375" style="6" customWidth="1"/>
    <col min="3085" max="3085" width="15" style="6" customWidth="1"/>
    <col min="3086" max="3086" width="15.7109375" style="6" customWidth="1"/>
    <col min="3087" max="3087" width="17.7109375" style="6" customWidth="1"/>
    <col min="3088" max="3088" width="18.5703125" style="6" customWidth="1"/>
    <col min="3089" max="3089" width="17.7109375" style="6" bestFit="1" customWidth="1"/>
    <col min="3090" max="3090" width="22.140625" style="6" customWidth="1"/>
    <col min="3091" max="3091" width="17.42578125" style="6" bestFit="1" customWidth="1"/>
    <col min="3092" max="3328" width="9.140625" style="6"/>
    <col min="3329" max="3329" width="16.85546875" style="6" customWidth="1"/>
    <col min="3330" max="3330" width="17.140625" style="6" customWidth="1"/>
    <col min="3331" max="3331" width="19.7109375" style="6" customWidth="1"/>
    <col min="3332" max="3332" width="68.85546875" style="6" customWidth="1"/>
    <col min="3333" max="3333" width="19.140625" style="6" customWidth="1"/>
    <col min="3334" max="3334" width="21.140625" style="6" customWidth="1"/>
    <col min="3335" max="3335" width="18.7109375" style="6" customWidth="1"/>
    <col min="3336" max="3336" width="18" style="6" customWidth="1"/>
    <col min="3337" max="3337" width="16.85546875" style="6" customWidth="1"/>
    <col min="3338" max="3338" width="19.5703125" style="6" customWidth="1"/>
    <col min="3339" max="3339" width="19.140625" style="6" customWidth="1"/>
    <col min="3340" max="3340" width="16.7109375" style="6" customWidth="1"/>
    <col min="3341" max="3341" width="15" style="6" customWidth="1"/>
    <col min="3342" max="3342" width="15.7109375" style="6" customWidth="1"/>
    <col min="3343" max="3343" width="17.7109375" style="6" customWidth="1"/>
    <col min="3344" max="3344" width="18.5703125" style="6" customWidth="1"/>
    <col min="3345" max="3345" width="17.7109375" style="6" bestFit="1" customWidth="1"/>
    <col min="3346" max="3346" width="22.140625" style="6" customWidth="1"/>
    <col min="3347" max="3347" width="17.42578125" style="6" bestFit="1" customWidth="1"/>
    <col min="3348" max="3584" width="9.140625" style="6"/>
    <col min="3585" max="3585" width="16.85546875" style="6" customWidth="1"/>
    <col min="3586" max="3586" width="17.140625" style="6" customWidth="1"/>
    <col min="3587" max="3587" width="19.7109375" style="6" customWidth="1"/>
    <col min="3588" max="3588" width="68.85546875" style="6" customWidth="1"/>
    <col min="3589" max="3589" width="19.140625" style="6" customWidth="1"/>
    <col min="3590" max="3590" width="21.140625" style="6" customWidth="1"/>
    <col min="3591" max="3591" width="18.7109375" style="6" customWidth="1"/>
    <col min="3592" max="3592" width="18" style="6" customWidth="1"/>
    <col min="3593" max="3593" width="16.85546875" style="6" customWidth="1"/>
    <col min="3594" max="3594" width="19.5703125" style="6" customWidth="1"/>
    <col min="3595" max="3595" width="19.140625" style="6" customWidth="1"/>
    <col min="3596" max="3596" width="16.7109375" style="6" customWidth="1"/>
    <col min="3597" max="3597" width="15" style="6" customWidth="1"/>
    <col min="3598" max="3598" width="15.7109375" style="6" customWidth="1"/>
    <col min="3599" max="3599" width="17.7109375" style="6" customWidth="1"/>
    <col min="3600" max="3600" width="18.5703125" style="6" customWidth="1"/>
    <col min="3601" max="3601" width="17.7109375" style="6" bestFit="1" customWidth="1"/>
    <col min="3602" max="3602" width="22.140625" style="6" customWidth="1"/>
    <col min="3603" max="3603" width="17.42578125" style="6" bestFit="1" customWidth="1"/>
    <col min="3604" max="3840" width="9.140625" style="6"/>
    <col min="3841" max="3841" width="16.85546875" style="6" customWidth="1"/>
    <col min="3842" max="3842" width="17.140625" style="6" customWidth="1"/>
    <col min="3843" max="3843" width="19.7109375" style="6" customWidth="1"/>
    <col min="3844" max="3844" width="68.85546875" style="6" customWidth="1"/>
    <col min="3845" max="3845" width="19.140625" style="6" customWidth="1"/>
    <col min="3846" max="3846" width="21.140625" style="6" customWidth="1"/>
    <col min="3847" max="3847" width="18.7109375" style="6" customWidth="1"/>
    <col min="3848" max="3848" width="18" style="6" customWidth="1"/>
    <col min="3849" max="3849" width="16.85546875" style="6" customWidth="1"/>
    <col min="3850" max="3850" width="19.5703125" style="6" customWidth="1"/>
    <col min="3851" max="3851" width="19.140625" style="6" customWidth="1"/>
    <col min="3852" max="3852" width="16.7109375" style="6" customWidth="1"/>
    <col min="3853" max="3853" width="15" style="6" customWidth="1"/>
    <col min="3854" max="3854" width="15.7109375" style="6" customWidth="1"/>
    <col min="3855" max="3855" width="17.7109375" style="6" customWidth="1"/>
    <col min="3856" max="3856" width="18.5703125" style="6" customWidth="1"/>
    <col min="3857" max="3857" width="17.7109375" style="6" bestFit="1" customWidth="1"/>
    <col min="3858" max="3858" width="22.140625" style="6" customWidth="1"/>
    <col min="3859" max="3859" width="17.42578125" style="6" bestFit="1" customWidth="1"/>
    <col min="3860" max="4096" width="9.140625" style="6"/>
    <col min="4097" max="4097" width="16.85546875" style="6" customWidth="1"/>
    <col min="4098" max="4098" width="17.140625" style="6" customWidth="1"/>
    <col min="4099" max="4099" width="19.7109375" style="6" customWidth="1"/>
    <col min="4100" max="4100" width="68.85546875" style="6" customWidth="1"/>
    <col min="4101" max="4101" width="19.140625" style="6" customWidth="1"/>
    <col min="4102" max="4102" width="21.140625" style="6" customWidth="1"/>
    <col min="4103" max="4103" width="18.7109375" style="6" customWidth="1"/>
    <col min="4104" max="4104" width="18" style="6" customWidth="1"/>
    <col min="4105" max="4105" width="16.85546875" style="6" customWidth="1"/>
    <col min="4106" max="4106" width="19.5703125" style="6" customWidth="1"/>
    <col min="4107" max="4107" width="19.140625" style="6" customWidth="1"/>
    <col min="4108" max="4108" width="16.7109375" style="6" customWidth="1"/>
    <col min="4109" max="4109" width="15" style="6" customWidth="1"/>
    <col min="4110" max="4110" width="15.7109375" style="6" customWidth="1"/>
    <col min="4111" max="4111" width="17.7109375" style="6" customWidth="1"/>
    <col min="4112" max="4112" width="18.5703125" style="6" customWidth="1"/>
    <col min="4113" max="4113" width="17.7109375" style="6" bestFit="1" customWidth="1"/>
    <col min="4114" max="4114" width="22.140625" style="6" customWidth="1"/>
    <col min="4115" max="4115" width="17.42578125" style="6" bestFit="1" customWidth="1"/>
    <col min="4116" max="4352" width="9.140625" style="6"/>
    <col min="4353" max="4353" width="16.85546875" style="6" customWidth="1"/>
    <col min="4354" max="4354" width="17.140625" style="6" customWidth="1"/>
    <col min="4355" max="4355" width="19.7109375" style="6" customWidth="1"/>
    <col min="4356" max="4356" width="68.85546875" style="6" customWidth="1"/>
    <col min="4357" max="4357" width="19.140625" style="6" customWidth="1"/>
    <col min="4358" max="4358" width="21.140625" style="6" customWidth="1"/>
    <col min="4359" max="4359" width="18.7109375" style="6" customWidth="1"/>
    <col min="4360" max="4360" width="18" style="6" customWidth="1"/>
    <col min="4361" max="4361" width="16.85546875" style="6" customWidth="1"/>
    <col min="4362" max="4362" width="19.5703125" style="6" customWidth="1"/>
    <col min="4363" max="4363" width="19.140625" style="6" customWidth="1"/>
    <col min="4364" max="4364" width="16.7109375" style="6" customWidth="1"/>
    <col min="4365" max="4365" width="15" style="6" customWidth="1"/>
    <col min="4366" max="4366" width="15.7109375" style="6" customWidth="1"/>
    <col min="4367" max="4367" width="17.7109375" style="6" customWidth="1"/>
    <col min="4368" max="4368" width="18.5703125" style="6" customWidth="1"/>
    <col min="4369" max="4369" width="17.7109375" style="6" bestFit="1" customWidth="1"/>
    <col min="4370" max="4370" width="22.140625" style="6" customWidth="1"/>
    <col min="4371" max="4371" width="17.42578125" style="6" bestFit="1" customWidth="1"/>
    <col min="4372" max="4608" width="9.140625" style="6"/>
    <col min="4609" max="4609" width="16.85546875" style="6" customWidth="1"/>
    <col min="4610" max="4610" width="17.140625" style="6" customWidth="1"/>
    <col min="4611" max="4611" width="19.7109375" style="6" customWidth="1"/>
    <col min="4612" max="4612" width="68.85546875" style="6" customWidth="1"/>
    <col min="4613" max="4613" width="19.140625" style="6" customWidth="1"/>
    <col min="4614" max="4614" width="21.140625" style="6" customWidth="1"/>
    <col min="4615" max="4615" width="18.7109375" style="6" customWidth="1"/>
    <col min="4616" max="4616" width="18" style="6" customWidth="1"/>
    <col min="4617" max="4617" width="16.85546875" style="6" customWidth="1"/>
    <col min="4618" max="4618" width="19.5703125" style="6" customWidth="1"/>
    <col min="4619" max="4619" width="19.140625" style="6" customWidth="1"/>
    <col min="4620" max="4620" width="16.7109375" style="6" customWidth="1"/>
    <col min="4621" max="4621" width="15" style="6" customWidth="1"/>
    <col min="4622" max="4622" width="15.7109375" style="6" customWidth="1"/>
    <col min="4623" max="4623" width="17.7109375" style="6" customWidth="1"/>
    <col min="4624" max="4624" width="18.5703125" style="6" customWidth="1"/>
    <col min="4625" max="4625" width="17.7109375" style="6" bestFit="1" customWidth="1"/>
    <col min="4626" max="4626" width="22.140625" style="6" customWidth="1"/>
    <col min="4627" max="4627" width="17.42578125" style="6" bestFit="1" customWidth="1"/>
    <col min="4628" max="4864" width="9.140625" style="6"/>
    <col min="4865" max="4865" width="16.85546875" style="6" customWidth="1"/>
    <col min="4866" max="4866" width="17.140625" style="6" customWidth="1"/>
    <col min="4867" max="4867" width="19.7109375" style="6" customWidth="1"/>
    <col min="4868" max="4868" width="68.85546875" style="6" customWidth="1"/>
    <col min="4869" max="4869" width="19.140625" style="6" customWidth="1"/>
    <col min="4870" max="4870" width="21.140625" style="6" customWidth="1"/>
    <col min="4871" max="4871" width="18.7109375" style="6" customWidth="1"/>
    <col min="4872" max="4872" width="18" style="6" customWidth="1"/>
    <col min="4873" max="4873" width="16.85546875" style="6" customWidth="1"/>
    <col min="4874" max="4874" width="19.5703125" style="6" customWidth="1"/>
    <col min="4875" max="4875" width="19.140625" style="6" customWidth="1"/>
    <col min="4876" max="4876" width="16.7109375" style="6" customWidth="1"/>
    <col min="4877" max="4877" width="15" style="6" customWidth="1"/>
    <col min="4878" max="4878" width="15.7109375" style="6" customWidth="1"/>
    <col min="4879" max="4879" width="17.7109375" style="6" customWidth="1"/>
    <col min="4880" max="4880" width="18.5703125" style="6" customWidth="1"/>
    <col min="4881" max="4881" width="17.7109375" style="6" bestFit="1" customWidth="1"/>
    <col min="4882" max="4882" width="22.140625" style="6" customWidth="1"/>
    <col min="4883" max="4883" width="17.42578125" style="6" bestFit="1" customWidth="1"/>
    <col min="4884" max="5120" width="9.140625" style="6"/>
    <col min="5121" max="5121" width="16.85546875" style="6" customWidth="1"/>
    <col min="5122" max="5122" width="17.140625" style="6" customWidth="1"/>
    <col min="5123" max="5123" width="19.7109375" style="6" customWidth="1"/>
    <col min="5124" max="5124" width="68.85546875" style="6" customWidth="1"/>
    <col min="5125" max="5125" width="19.140625" style="6" customWidth="1"/>
    <col min="5126" max="5126" width="21.140625" style="6" customWidth="1"/>
    <col min="5127" max="5127" width="18.7109375" style="6" customWidth="1"/>
    <col min="5128" max="5128" width="18" style="6" customWidth="1"/>
    <col min="5129" max="5129" width="16.85546875" style="6" customWidth="1"/>
    <col min="5130" max="5130" width="19.5703125" style="6" customWidth="1"/>
    <col min="5131" max="5131" width="19.140625" style="6" customWidth="1"/>
    <col min="5132" max="5132" width="16.7109375" style="6" customWidth="1"/>
    <col min="5133" max="5133" width="15" style="6" customWidth="1"/>
    <col min="5134" max="5134" width="15.7109375" style="6" customWidth="1"/>
    <col min="5135" max="5135" width="17.7109375" style="6" customWidth="1"/>
    <col min="5136" max="5136" width="18.5703125" style="6" customWidth="1"/>
    <col min="5137" max="5137" width="17.7109375" style="6" bestFit="1" customWidth="1"/>
    <col min="5138" max="5138" width="22.140625" style="6" customWidth="1"/>
    <col min="5139" max="5139" width="17.42578125" style="6" bestFit="1" customWidth="1"/>
    <col min="5140" max="5376" width="9.140625" style="6"/>
    <col min="5377" max="5377" width="16.85546875" style="6" customWidth="1"/>
    <col min="5378" max="5378" width="17.140625" style="6" customWidth="1"/>
    <col min="5379" max="5379" width="19.7109375" style="6" customWidth="1"/>
    <col min="5380" max="5380" width="68.85546875" style="6" customWidth="1"/>
    <col min="5381" max="5381" width="19.140625" style="6" customWidth="1"/>
    <col min="5382" max="5382" width="21.140625" style="6" customWidth="1"/>
    <col min="5383" max="5383" width="18.7109375" style="6" customWidth="1"/>
    <col min="5384" max="5384" width="18" style="6" customWidth="1"/>
    <col min="5385" max="5385" width="16.85546875" style="6" customWidth="1"/>
    <col min="5386" max="5386" width="19.5703125" style="6" customWidth="1"/>
    <col min="5387" max="5387" width="19.140625" style="6" customWidth="1"/>
    <col min="5388" max="5388" width="16.7109375" style="6" customWidth="1"/>
    <col min="5389" max="5389" width="15" style="6" customWidth="1"/>
    <col min="5390" max="5390" width="15.7109375" style="6" customWidth="1"/>
    <col min="5391" max="5391" width="17.7109375" style="6" customWidth="1"/>
    <col min="5392" max="5392" width="18.5703125" style="6" customWidth="1"/>
    <col min="5393" max="5393" width="17.7109375" style="6" bestFit="1" customWidth="1"/>
    <col min="5394" max="5394" width="22.140625" style="6" customWidth="1"/>
    <col min="5395" max="5395" width="17.42578125" style="6" bestFit="1" customWidth="1"/>
    <col min="5396" max="5632" width="9.140625" style="6"/>
    <col min="5633" max="5633" width="16.85546875" style="6" customWidth="1"/>
    <col min="5634" max="5634" width="17.140625" style="6" customWidth="1"/>
    <col min="5635" max="5635" width="19.7109375" style="6" customWidth="1"/>
    <col min="5636" max="5636" width="68.85546875" style="6" customWidth="1"/>
    <col min="5637" max="5637" width="19.140625" style="6" customWidth="1"/>
    <col min="5638" max="5638" width="21.140625" style="6" customWidth="1"/>
    <col min="5639" max="5639" width="18.7109375" style="6" customWidth="1"/>
    <col min="5640" max="5640" width="18" style="6" customWidth="1"/>
    <col min="5641" max="5641" width="16.85546875" style="6" customWidth="1"/>
    <col min="5642" max="5642" width="19.5703125" style="6" customWidth="1"/>
    <col min="5643" max="5643" width="19.140625" style="6" customWidth="1"/>
    <col min="5644" max="5644" width="16.7109375" style="6" customWidth="1"/>
    <col min="5645" max="5645" width="15" style="6" customWidth="1"/>
    <col min="5646" max="5646" width="15.7109375" style="6" customWidth="1"/>
    <col min="5647" max="5647" width="17.7109375" style="6" customWidth="1"/>
    <col min="5648" max="5648" width="18.5703125" style="6" customWidth="1"/>
    <col min="5649" max="5649" width="17.7109375" style="6" bestFit="1" customWidth="1"/>
    <col min="5650" max="5650" width="22.140625" style="6" customWidth="1"/>
    <col min="5651" max="5651" width="17.42578125" style="6" bestFit="1" customWidth="1"/>
    <col min="5652" max="5888" width="9.140625" style="6"/>
    <col min="5889" max="5889" width="16.85546875" style="6" customWidth="1"/>
    <col min="5890" max="5890" width="17.140625" style="6" customWidth="1"/>
    <col min="5891" max="5891" width="19.7109375" style="6" customWidth="1"/>
    <col min="5892" max="5892" width="68.85546875" style="6" customWidth="1"/>
    <col min="5893" max="5893" width="19.140625" style="6" customWidth="1"/>
    <col min="5894" max="5894" width="21.140625" style="6" customWidth="1"/>
    <col min="5895" max="5895" width="18.7109375" style="6" customWidth="1"/>
    <col min="5896" max="5896" width="18" style="6" customWidth="1"/>
    <col min="5897" max="5897" width="16.85546875" style="6" customWidth="1"/>
    <col min="5898" max="5898" width="19.5703125" style="6" customWidth="1"/>
    <col min="5899" max="5899" width="19.140625" style="6" customWidth="1"/>
    <col min="5900" max="5900" width="16.7109375" style="6" customWidth="1"/>
    <col min="5901" max="5901" width="15" style="6" customWidth="1"/>
    <col min="5902" max="5902" width="15.7109375" style="6" customWidth="1"/>
    <col min="5903" max="5903" width="17.7109375" style="6" customWidth="1"/>
    <col min="5904" max="5904" width="18.5703125" style="6" customWidth="1"/>
    <col min="5905" max="5905" width="17.7109375" style="6" bestFit="1" customWidth="1"/>
    <col min="5906" max="5906" width="22.140625" style="6" customWidth="1"/>
    <col min="5907" max="5907" width="17.42578125" style="6" bestFit="1" customWidth="1"/>
    <col min="5908" max="6144" width="9.140625" style="6"/>
    <col min="6145" max="6145" width="16.85546875" style="6" customWidth="1"/>
    <col min="6146" max="6146" width="17.140625" style="6" customWidth="1"/>
    <col min="6147" max="6147" width="19.7109375" style="6" customWidth="1"/>
    <col min="6148" max="6148" width="68.85546875" style="6" customWidth="1"/>
    <col min="6149" max="6149" width="19.140625" style="6" customWidth="1"/>
    <col min="6150" max="6150" width="21.140625" style="6" customWidth="1"/>
    <col min="6151" max="6151" width="18.7109375" style="6" customWidth="1"/>
    <col min="6152" max="6152" width="18" style="6" customWidth="1"/>
    <col min="6153" max="6153" width="16.85546875" style="6" customWidth="1"/>
    <col min="6154" max="6154" width="19.5703125" style="6" customWidth="1"/>
    <col min="6155" max="6155" width="19.140625" style="6" customWidth="1"/>
    <col min="6156" max="6156" width="16.7109375" style="6" customWidth="1"/>
    <col min="6157" max="6157" width="15" style="6" customWidth="1"/>
    <col min="6158" max="6158" width="15.7109375" style="6" customWidth="1"/>
    <col min="6159" max="6159" width="17.7109375" style="6" customWidth="1"/>
    <col min="6160" max="6160" width="18.5703125" style="6" customWidth="1"/>
    <col min="6161" max="6161" width="17.7109375" style="6" bestFit="1" customWidth="1"/>
    <col min="6162" max="6162" width="22.140625" style="6" customWidth="1"/>
    <col min="6163" max="6163" width="17.42578125" style="6" bestFit="1" customWidth="1"/>
    <col min="6164" max="6400" width="9.140625" style="6"/>
    <col min="6401" max="6401" width="16.85546875" style="6" customWidth="1"/>
    <col min="6402" max="6402" width="17.140625" style="6" customWidth="1"/>
    <col min="6403" max="6403" width="19.7109375" style="6" customWidth="1"/>
    <col min="6404" max="6404" width="68.85546875" style="6" customWidth="1"/>
    <col min="6405" max="6405" width="19.140625" style="6" customWidth="1"/>
    <col min="6406" max="6406" width="21.140625" style="6" customWidth="1"/>
    <col min="6407" max="6407" width="18.7109375" style="6" customWidth="1"/>
    <col min="6408" max="6408" width="18" style="6" customWidth="1"/>
    <col min="6409" max="6409" width="16.85546875" style="6" customWidth="1"/>
    <col min="6410" max="6410" width="19.5703125" style="6" customWidth="1"/>
    <col min="6411" max="6411" width="19.140625" style="6" customWidth="1"/>
    <col min="6412" max="6412" width="16.7109375" style="6" customWidth="1"/>
    <col min="6413" max="6413" width="15" style="6" customWidth="1"/>
    <col min="6414" max="6414" width="15.7109375" style="6" customWidth="1"/>
    <col min="6415" max="6415" width="17.7109375" style="6" customWidth="1"/>
    <col min="6416" max="6416" width="18.5703125" style="6" customWidth="1"/>
    <col min="6417" max="6417" width="17.7109375" style="6" bestFit="1" customWidth="1"/>
    <col min="6418" max="6418" width="22.140625" style="6" customWidth="1"/>
    <col min="6419" max="6419" width="17.42578125" style="6" bestFit="1" customWidth="1"/>
    <col min="6420" max="6656" width="9.140625" style="6"/>
    <col min="6657" max="6657" width="16.85546875" style="6" customWidth="1"/>
    <col min="6658" max="6658" width="17.140625" style="6" customWidth="1"/>
    <col min="6659" max="6659" width="19.7109375" style="6" customWidth="1"/>
    <col min="6660" max="6660" width="68.85546875" style="6" customWidth="1"/>
    <col min="6661" max="6661" width="19.140625" style="6" customWidth="1"/>
    <col min="6662" max="6662" width="21.140625" style="6" customWidth="1"/>
    <col min="6663" max="6663" width="18.7109375" style="6" customWidth="1"/>
    <col min="6664" max="6664" width="18" style="6" customWidth="1"/>
    <col min="6665" max="6665" width="16.85546875" style="6" customWidth="1"/>
    <col min="6666" max="6666" width="19.5703125" style="6" customWidth="1"/>
    <col min="6667" max="6667" width="19.140625" style="6" customWidth="1"/>
    <col min="6668" max="6668" width="16.7109375" style="6" customWidth="1"/>
    <col min="6669" max="6669" width="15" style="6" customWidth="1"/>
    <col min="6670" max="6670" width="15.7109375" style="6" customWidth="1"/>
    <col min="6671" max="6671" width="17.7109375" style="6" customWidth="1"/>
    <col min="6672" max="6672" width="18.5703125" style="6" customWidth="1"/>
    <col min="6673" max="6673" width="17.7109375" style="6" bestFit="1" customWidth="1"/>
    <col min="6674" max="6674" width="22.140625" style="6" customWidth="1"/>
    <col min="6675" max="6675" width="17.42578125" style="6" bestFit="1" customWidth="1"/>
    <col min="6676" max="6912" width="9.140625" style="6"/>
    <col min="6913" max="6913" width="16.85546875" style="6" customWidth="1"/>
    <col min="6914" max="6914" width="17.140625" style="6" customWidth="1"/>
    <col min="6915" max="6915" width="19.7109375" style="6" customWidth="1"/>
    <col min="6916" max="6916" width="68.85546875" style="6" customWidth="1"/>
    <col min="6917" max="6917" width="19.140625" style="6" customWidth="1"/>
    <col min="6918" max="6918" width="21.140625" style="6" customWidth="1"/>
    <col min="6919" max="6919" width="18.7109375" style="6" customWidth="1"/>
    <col min="6920" max="6920" width="18" style="6" customWidth="1"/>
    <col min="6921" max="6921" width="16.85546875" style="6" customWidth="1"/>
    <col min="6922" max="6922" width="19.5703125" style="6" customWidth="1"/>
    <col min="6923" max="6923" width="19.140625" style="6" customWidth="1"/>
    <col min="6924" max="6924" width="16.7109375" style="6" customWidth="1"/>
    <col min="6925" max="6925" width="15" style="6" customWidth="1"/>
    <col min="6926" max="6926" width="15.7109375" style="6" customWidth="1"/>
    <col min="6927" max="6927" width="17.7109375" style="6" customWidth="1"/>
    <col min="6928" max="6928" width="18.5703125" style="6" customWidth="1"/>
    <col min="6929" max="6929" width="17.7109375" style="6" bestFit="1" customWidth="1"/>
    <col min="6930" max="6930" width="22.140625" style="6" customWidth="1"/>
    <col min="6931" max="6931" width="17.42578125" style="6" bestFit="1" customWidth="1"/>
    <col min="6932" max="7168" width="9.140625" style="6"/>
    <col min="7169" max="7169" width="16.85546875" style="6" customWidth="1"/>
    <col min="7170" max="7170" width="17.140625" style="6" customWidth="1"/>
    <col min="7171" max="7171" width="19.7109375" style="6" customWidth="1"/>
    <col min="7172" max="7172" width="68.85546875" style="6" customWidth="1"/>
    <col min="7173" max="7173" width="19.140625" style="6" customWidth="1"/>
    <col min="7174" max="7174" width="21.140625" style="6" customWidth="1"/>
    <col min="7175" max="7175" width="18.7109375" style="6" customWidth="1"/>
    <col min="7176" max="7176" width="18" style="6" customWidth="1"/>
    <col min="7177" max="7177" width="16.85546875" style="6" customWidth="1"/>
    <col min="7178" max="7178" width="19.5703125" style="6" customWidth="1"/>
    <col min="7179" max="7179" width="19.140625" style="6" customWidth="1"/>
    <col min="7180" max="7180" width="16.7109375" style="6" customWidth="1"/>
    <col min="7181" max="7181" width="15" style="6" customWidth="1"/>
    <col min="7182" max="7182" width="15.7109375" style="6" customWidth="1"/>
    <col min="7183" max="7183" width="17.7109375" style="6" customWidth="1"/>
    <col min="7184" max="7184" width="18.5703125" style="6" customWidth="1"/>
    <col min="7185" max="7185" width="17.7109375" style="6" bestFit="1" customWidth="1"/>
    <col min="7186" max="7186" width="22.140625" style="6" customWidth="1"/>
    <col min="7187" max="7187" width="17.42578125" style="6" bestFit="1" customWidth="1"/>
    <col min="7188" max="7424" width="9.140625" style="6"/>
    <col min="7425" max="7425" width="16.85546875" style="6" customWidth="1"/>
    <col min="7426" max="7426" width="17.140625" style="6" customWidth="1"/>
    <col min="7427" max="7427" width="19.7109375" style="6" customWidth="1"/>
    <col min="7428" max="7428" width="68.85546875" style="6" customWidth="1"/>
    <col min="7429" max="7429" width="19.140625" style="6" customWidth="1"/>
    <col min="7430" max="7430" width="21.140625" style="6" customWidth="1"/>
    <col min="7431" max="7431" width="18.7109375" style="6" customWidth="1"/>
    <col min="7432" max="7432" width="18" style="6" customWidth="1"/>
    <col min="7433" max="7433" width="16.85546875" style="6" customWidth="1"/>
    <col min="7434" max="7434" width="19.5703125" style="6" customWidth="1"/>
    <col min="7435" max="7435" width="19.140625" style="6" customWidth="1"/>
    <col min="7436" max="7436" width="16.7109375" style="6" customWidth="1"/>
    <col min="7437" max="7437" width="15" style="6" customWidth="1"/>
    <col min="7438" max="7438" width="15.7109375" style="6" customWidth="1"/>
    <col min="7439" max="7439" width="17.7109375" style="6" customWidth="1"/>
    <col min="7440" max="7440" width="18.5703125" style="6" customWidth="1"/>
    <col min="7441" max="7441" width="17.7109375" style="6" bestFit="1" customWidth="1"/>
    <col min="7442" max="7442" width="22.140625" style="6" customWidth="1"/>
    <col min="7443" max="7443" width="17.42578125" style="6" bestFit="1" customWidth="1"/>
    <col min="7444" max="7680" width="9.140625" style="6"/>
    <col min="7681" max="7681" width="16.85546875" style="6" customWidth="1"/>
    <col min="7682" max="7682" width="17.140625" style="6" customWidth="1"/>
    <col min="7683" max="7683" width="19.7109375" style="6" customWidth="1"/>
    <col min="7684" max="7684" width="68.85546875" style="6" customWidth="1"/>
    <col min="7685" max="7685" width="19.140625" style="6" customWidth="1"/>
    <col min="7686" max="7686" width="21.140625" style="6" customWidth="1"/>
    <col min="7687" max="7687" width="18.7109375" style="6" customWidth="1"/>
    <col min="7688" max="7688" width="18" style="6" customWidth="1"/>
    <col min="7689" max="7689" width="16.85546875" style="6" customWidth="1"/>
    <col min="7690" max="7690" width="19.5703125" style="6" customWidth="1"/>
    <col min="7691" max="7691" width="19.140625" style="6" customWidth="1"/>
    <col min="7692" max="7692" width="16.7109375" style="6" customWidth="1"/>
    <col min="7693" max="7693" width="15" style="6" customWidth="1"/>
    <col min="7694" max="7694" width="15.7109375" style="6" customWidth="1"/>
    <col min="7695" max="7695" width="17.7109375" style="6" customWidth="1"/>
    <col min="7696" max="7696" width="18.5703125" style="6" customWidth="1"/>
    <col min="7697" max="7697" width="17.7109375" style="6" bestFit="1" customWidth="1"/>
    <col min="7698" max="7698" width="22.140625" style="6" customWidth="1"/>
    <col min="7699" max="7699" width="17.42578125" style="6" bestFit="1" customWidth="1"/>
    <col min="7700" max="7936" width="9.140625" style="6"/>
    <col min="7937" max="7937" width="16.85546875" style="6" customWidth="1"/>
    <col min="7938" max="7938" width="17.140625" style="6" customWidth="1"/>
    <col min="7939" max="7939" width="19.7109375" style="6" customWidth="1"/>
    <col min="7940" max="7940" width="68.85546875" style="6" customWidth="1"/>
    <col min="7941" max="7941" width="19.140625" style="6" customWidth="1"/>
    <col min="7942" max="7942" width="21.140625" style="6" customWidth="1"/>
    <col min="7943" max="7943" width="18.7109375" style="6" customWidth="1"/>
    <col min="7944" max="7944" width="18" style="6" customWidth="1"/>
    <col min="7945" max="7945" width="16.85546875" style="6" customWidth="1"/>
    <col min="7946" max="7946" width="19.5703125" style="6" customWidth="1"/>
    <col min="7947" max="7947" width="19.140625" style="6" customWidth="1"/>
    <col min="7948" max="7948" width="16.7109375" style="6" customWidth="1"/>
    <col min="7949" max="7949" width="15" style="6" customWidth="1"/>
    <col min="7950" max="7950" width="15.7109375" style="6" customWidth="1"/>
    <col min="7951" max="7951" width="17.7109375" style="6" customWidth="1"/>
    <col min="7952" max="7952" width="18.5703125" style="6" customWidth="1"/>
    <col min="7953" max="7953" width="17.7109375" style="6" bestFit="1" customWidth="1"/>
    <col min="7954" max="7954" width="22.140625" style="6" customWidth="1"/>
    <col min="7955" max="7955" width="17.42578125" style="6" bestFit="1" customWidth="1"/>
    <col min="7956" max="8192" width="9.140625" style="6"/>
    <col min="8193" max="8193" width="16.85546875" style="6" customWidth="1"/>
    <col min="8194" max="8194" width="17.140625" style="6" customWidth="1"/>
    <col min="8195" max="8195" width="19.7109375" style="6" customWidth="1"/>
    <col min="8196" max="8196" width="68.85546875" style="6" customWidth="1"/>
    <col min="8197" max="8197" width="19.140625" style="6" customWidth="1"/>
    <col min="8198" max="8198" width="21.140625" style="6" customWidth="1"/>
    <col min="8199" max="8199" width="18.7109375" style="6" customWidth="1"/>
    <col min="8200" max="8200" width="18" style="6" customWidth="1"/>
    <col min="8201" max="8201" width="16.85546875" style="6" customWidth="1"/>
    <col min="8202" max="8202" width="19.5703125" style="6" customWidth="1"/>
    <col min="8203" max="8203" width="19.140625" style="6" customWidth="1"/>
    <col min="8204" max="8204" width="16.7109375" style="6" customWidth="1"/>
    <col min="8205" max="8205" width="15" style="6" customWidth="1"/>
    <col min="8206" max="8206" width="15.7109375" style="6" customWidth="1"/>
    <col min="8207" max="8207" width="17.7109375" style="6" customWidth="1"/>
    <col min="8208" max="8208" width="18.5703125" style="6" customWidth="1"/>
    <col min="8209" max="8209" width="17.7109375" style="6" bestFit="1" customWidth="1"/>
    <col min="8210" max="8210" width="22.140625" style="6" customWidth="1"/>
    <col min="8211" max="8211" width="17.42578125" style="6" bestFit="1" customWidth="1"/>
    <col min="8212" max="8448" width="9.140625" style="6"/>
    <col min="8449" max="8449" width="16.85546875" style="6" customWidth="1"/>
    <col min="8450" max="8450" width="17.140625" style="6" customWidth="1"/>
    <col min="8451" max="8451" width="19.7109375" style="6" customWidth="1"/>
    <col min="8452" max="8452" width="68.85546875" style="6" customWidth="1"/>
    <col min="8453" max="8453" width="19.140625" style="6" customWidth="1"/>
    <col min="8454" max="8454" width="21.140625" style="6" customWidth="1"/>
    <col min="8455" max="8455" width="18.7109375" style="6" customWidth="1"/>
    <col min="8456" max="8456" width="18" style="6" customWidth="1"/>
    <col min="8457" max="8457" width="16.85546875" style="6" customWidth="1"/>
    <col min="8458" max="8458" width="19.5703125" style="6" customWidth="1"/>
    <col min="8459" max="8459" width="19.140625" style="6" customWidth="1"/>
    <col min="8460" max="8460" width="16.7109375" style="6" customWidth="1"/>
    <col min="8461" max="8461" width="15" style="6" customWidth="1"/>
    <col min="8462" max="8462" width="15.7109375" style="6" customWidth="1"/>
    <col min="8463" max="8463" width="17.7109375" style="6" customWidth="1"/>
    <col min="8464" max="8464" width="18.5703125" style="6" customWidth="1"/>
    <col min="8465" max="8465" width="17.7109375" style="6" bestFit="1" customWidth="1"/>
    <col min="8466" max="8466" width="22.140625" style="6" customWidth="1"/>
    <col min="8467" max="8467" width="17.42578125" style="6" bestFit="1" customWidth="1"/>
    <col min="8468" max="8704" width="9.140625" style="6"/>
    <col min="8705" max="8705" width="16.85546875" style="6" customWidth="1"/>
    <col min="8706" max="8706" width="17.140625" style="6" customWidth="1"/>
    <col min="8707" max="8707" width="19.7109375" style="6" customWidth="1"/>
    <col min="8708" max="8708" width="68.85546875" style="6" customWidth="1"/>
    <col min="8709" max="8709" width="19.140625" style="6" customWidth="1"/>
    <col min="8710" max="8710" width="21.140625" style="6" customWidth="1"/>
    <col min="8711" max="8711" width="18.7109375" style="6" customWidth="1"/>
    <col min="8712" max="8712" width="18" style="6" customWidth="1"/>
    <col min="8713" max="8713" width="16.85546875" style="6" customWidth="1"/>
    <col min="8714" max="8714" width="19.5703125" style="6" customWidth="1"/>
    <col min="8715" max="8715" width="19.140625" style="6" customWidth="1"/>
    <col min="8716" max="8716" width="16.7109375" style="6" customWidth="1"/>
    <col min="8717" max="8717" width="15" style="6" customWidth="1"/>
    <col min="8718" max="8718" width="15.7109375" style="6" customWidth="1"/>
    <col min="8719" max="8719" width="17.7109375" style="6" customWidth="1"/>
    <col min="8720" max="8720" width="18.5703125" style="6" customWidth="1"/>
    <col min="8721" max="8721" width="17.7109375" style="6" bestFit="1" customWidth="1"/>
    <col min="8722" max="8722" width="22.140625" style="6" customWidth="1"/>
    <col min="8723" max="8723" width="17.42578125" style="6" bestFit="1" customWidth="1"/>
    <col min="8724" max="8960" width="9.140625" style="6"/>
    <col min="8961" max="8961" width="16.85546875" style="6" customWidth="1"/>
    <col min="8962" max="8962" width="17.140625" style="6" customWidth="1"/>
    <col min="8963" max="8963" width="19.7109375" style="6" customWidth="1"/>
    <col min="8964" max="8964" width="68.85546875" style="6" customWidth="1"/>
    <col min="8965" max="8965" width="19.140625" style="6" customWidth="1"/>
    <col min="8966" max="8966" width="21.140625" style="6" customWidth="1"/>
    <col min="8967" max="8967" width="18.7109375" style="6" customWidth="1"/>
    <col min="8968" max="8968" width="18" style="6" customWidth="1"/>
    <col min="8969" max="8969" width="16.85546875" style="6" customWidth="1"/>
    <col min="8970" max="8970" width="19.5703125" style="6" customWidth="1"/>
    <col min="8971" max="8971" width="19.140625" style="6" customWidth="1"/>
    <col min="8972" max="8972" width="16.7109375" style="6" customWidth="1"/>
    <col min="8973" max="8973" width="15" style="6" customWidth="1"/>
    <col min="8974" max="8974" width="15.7109375" style="6" customWidth="1"/>
    <col min="8975" max="8975" width="17.7109375" style="6" customWidth="1"/>
    <col min="8976" max="8976" width="18.5703125" style="6" customWidth="1"/>
    <col min="8977" max="8977" width="17.7109375" style="6" bestFit="1" customWidth="1"/>
    <col min="8978" max="8978" width="22.140625" style="6" customWidth="1"/>
    <col min="8979" max="8979" width="17.42578125" style="6" bestFit="1" customWidth="1"/>
    <col min="8980" max="9216" width="9.140625" style="6"/>
    <col min="9217" max="9217" width="16.85546875" style="6" customWidth="1"/>
    <col min="9218" max="9218" width="17.140625" style="6" customWidth="1"/>
    <col min="9219" max="9219" width="19.7109375" style="6" customWidth="1"/>
    <col min="9220" max="9220" width="68.85546875" style="6" customWidth="1"/>
    <col min="9221" max="9221" width="19.140625" style="6" customWidth="1"/>
    <col min="9222" max="9222" width="21.140625" style="6" customWidth="1"/>
    <col min="9223" max="9223" width="18.7109375" style="6" customWidth="1"/>
    <col min="9224" max="9224" width="18" style="6" customWidth="1"/>
    <col min="9225" max="9225" width="16.85546875" style="6" customWidth="1"/>
    <col min="9226" max="9226" width="19.5703125" style="6" customWidth="1"/>
    <col min="9227" max="9227" width="19.140625" style="6" customWidth="1"/>
    <col min="9228" max="9228" width="16.7109375" style="6" customWidth="1"/>
    <col min="9229" max="9229" width="15" style="6" customWidth="1"/>
    <col min="9230" max="9230" width="15.7109375" style="6" customWidth="1"/>
    <col min="9231" max="9231" width="17.7109375" style="6" customWidth="1"/>
    <col min="9232" max="9232" width="18.5703125" style="6" customWidth="1"/>
    <col min="9233" max="9233" width="17.7109375" style="6" bestFit="1" customWidth="1"/>
    <col min="9234" max="9234" width="22.140625" style="6" customWidth="1"/>
    <col min="9235" max="9235" width="17.42578125" style="6" bestFit="1" customWidth="1"/>
    <col min="9236" max="9472" width="9.140625" style="6"/>
    <col min="9473" max="9473" width="16.85546875" style="6" customWidth="1"/>
    <col min="9474" max="9474" width="17.140625" style="6" customWidth="1"/>
    <col min="9475" max="9475" width="19.7109375" style="6" customWidth="1"/>
    <col min="9476" max="9476" width="68.85546875" style="6" customWidth="1"/>
    <col min="9477" max="9477" width="19.140625" style="6" customWidth="1"/>
    <col min="9478" max="9478" width="21.140625" style="6" customWidth="1"/>
    <col min="9479" max="9479" width="18.7109375" style="6" customWidth="1"/>
    <col min="9480" max="9480" width="18" style="6" customWidth="1"/>
    <col min="9481" max="9481" width="16.85546875" style="6" customWidth="1"/>
    <col min="9482" max="9482" width="19.5703125" style="6" customWidth="1"/>
    <col min="9483" max="9483" width="19.140625" style="6" customWidth="1"/>
    <col min="9484" max="9484" width="16.7109375" style="6" customWidth="1"/>
    <col min="9485" max="9485" width="15" style="6" customWidth="1"/>
    <col min="9486" max="9486" width="15.7109375" style="6" customWidth="1"/>
    <col min="9487" max="9487" width="17.7109375" style="6" customWidth="1"/>
    <col min="9488" max="9488" width="18.5703125" style="6" customWidth="1"/>
    <col min="9489" max="9489" width="17.7109375" style="6" bestFit="1" customWidth="1"/>
    <col min="9490" max="9490" width="22.140625" style="6" customWidth="1"/>
    <col min="9491" max="9491" width="17.42578125" style="6" bestFit="1" customWidth="1"/>
    <col min="9492" max="9728" width="9.140625" style="6"/>
    <col min="9729" max="9729" width="16.85546875" style="6" customWidth="1"/>
    <col min="9730" max="9730" width="17.140625" style="6" customWidth="1"/>
    <col min="9731" max="9731" width="19.7109375" style="6" customWidth="1"/>
    <col min="9732" max="9732" width="68.85546875" style="6" customWidth="1"/>
    <col min="9733" max="9733" width="19.140625" style="6" customWidth="1"/>
    <col min="9734" max="9734" width="21.140625" style="6" customWidth="1"/>
    <col min="9735" max="9735" width="18.7109375" style="6" customWidth="1"/>
    <col min="9736" max="9736" width="18" style="6" customWidth="1"/>
    <col min="9737" max="9737" width="16.85546875" style="6" customWidth="1"/>
    <col min="9738" max="9738" width="19.5703125" style="6" customWidth="1"/>
    <col min="9739" max="9739" width="19.140625" style="6" customWidth="1"/>
    <col min="9740" max="9740" width="16.7109375" style="6" customWidth="1"/>
    <col min="9741" max="9741" width="15" style="6" customWidth="1"/>
    <col min="9742" max="9742" width="15.7109375" style="6" customWidth="1"/>
    <col min="9743" max="9743" width="17.7109375" style="6" customWidth="1"/>
    <col min="9744" max="9744" width="18.5703125" style="6" customWidth="1"/>
    <col min="9745" max="9745" width="17.7109375" style="6" bestFit="1" customWidth="1"/>
    <col min="9746" max="9746" width="22.140625" style="6" customWidth="1"/>
    <col min="9747" max="9747" width="17.42578125" style="6" bestFit="1" customWidth="1"/>
    <col min="9748" max="9984" width="9.140625" style="6"/>
    <col min="9985" max="9985" width="16.85546875" style="6" customWidth="1"/>
    <col min="9986" max="9986" width="17.140625" style="6" customWidth="1"/>
    <col min="9987" max="9987" width="19.7109375" style="6" customWidth="1"/>
    <col min="9988" max="9988" width="68.85546875" style="6" customWidth="1"/>
    <col min="9989" max="9989" width="19.140625" style="6" customWidth="1"/>
    <col min="9990" max="9990" width="21.140625" style="6" customWidth="1"/>
    <col min="9991" max="9991" width="18.7109375" style="6" customWidth="1"/>
    <col min="9992" max="9992" width="18" style="6" customWidth="1"/>
    <col min="9993" max="9993" width="16.85546875" style="6" customWidth="1"/>
    <col min="9994" max="9994" width="19.5703125" style="6" customWidth="1"/>
    <col min="9995" max="9995" width="19.140625" style="6" customWidth="1"/>
    <col min="9996" max="9996" width="16.7109375" style="6" customWidth="1"/>
    <col min="9997" max="9997" width="15" style="6" customWidth="1"/>
    <col min="9998" max="9998" width="15.7109375" style="6" customWidth="1"/>
    <col min="9999" max="9999" width="17.7109375" style="6" customWidth="1"/>
    <col min="10000" max="10000" width="18.5703125" style="6" customWidth="1"/>
    <col min="10001" max="10001" width="17.7109375" style="6" bestFit="1" customWidth="1"/>
    <col min="10002" max="10002" width="22.140625" style="6" customWidth="1"/>
    <col min="10003" max="10003" width="17.42578125" style="6" bestFit="1" customWidth="1"/>
    <col min="10004" max="10240" width="9.140625" style="6"/>
    <col min="10241" max="10241" width="16.85546875" style="6" customWidth="1"/>
    <col min="10242" max="10242" width="17.140625" style="6" customWidth="1"/>
    <col min="10243" max="10243" width="19.7109375" style="6" customWidth="1"/>
    <col min="10244" max="10244" width="68.85546875" style="6" customWidth="1"/>
    <col min="10245" max="10245" width="19.140625" style="6" customWidth="1"/>
    <col min="10246" max="10246" width="21.140625" style="6" customWidth="1"/>
    <col min="10247" max="10247" width="18.7109375" style="6" customWidth="1"/>
    <col min="10248" max="10248" width="18" style="6" customWidth="1"/>
    <col min="10249" max="10249" width="16.85546875" style="6" customWidth="1"/>
    <col min="10250" max="10250" width="19.5703125" style="6" customWidth="1"/>
    <col min="10251" max="10251" width="19.140625" style="6" customWidth="1"/>
    <col min="10252" max="10252" width="16.7109375" style="6" customWidth="1"/>
    <col min="10253" max="10253" width="15" style="6" customWidth="1"/>
    <col min="10254" max="10254" width="15.7109375" style="6" customWidth="1"/>
    <col min="10255" max="10255" width="17.7109375" style="6" customWidth="1"/>
    <col min="10256" max="10256" width="18.5703125" style="6" customWidth="1"/>
    <col min="10257" max="10257" width="17.7109375" style="6" bestFit="1" customWidth="1"/>
    <col min="10258" max="10258" width="22.140625" style="6" customWidth="1"/>
    <col min="10259" max="10259" width="17.42578125" style="6" bestFit="1" customWidth="1"/>
    <col min="10260" max="10496" width="9.140625" style="6"/>
    <col min="10497" max="10497" width="16.85546875" style="6" customWidth="1"/>
    <col min="10498" max="10498" width="17.140625" style="6" customWidth="1"/>
    <col min="10499" max="10499" width="19.7109375" style="6" customWidth="1"/>
    <col min="10500" max="10500" width="68.85546875" style="6" customWidth="1"/>
    <col min="10501" max="10501" width="19.140625" style="6" customWidth="1"/>
    <col min="10502" max="10502" width="21.140625" style="6" customWidth="1"/>
    <col min="10503" max="10503" width="18.7109375" style="6" customWidth="1"/>
    <col min="10504" max="10504" width="18" style="6" customWidth="1"/>
    <col min="10505" max="10505" width="16.85546875" style="6" customWidth="1"/>
    <col min="10506" max="10506" width="19.5703125" style="6" customWidth="1"/>
    <col min="10507" max="10507" width="19.140625" style="6" customWidth="1"/>
    <col min="10508" max="10508" width="16.7109375" style="6" customWidth="1"/>
    <col min="10509" max="10509" width="15" style="6" customWidth="1"/>
    <col min="10510" max="10510" width="15.7109375" style="6" customWidth="1"/>
    <col min="10511" max="10511" width="17.7109375" style="6" customWidth="1"/>
    <col min="10512" max="10512" width="18.5703125" style="6" customWidth="1"/>
    <col min="10513" max="10513" width="17.7109375" style="6" bestFit="1" customWidth="1"/>
    <col min="10514" max="10514" width="22.140625" style="6" customWidth="1"/>
    <col min="10515" max="10515" width="17.42578125" style="6" bestFit="1" customWidth="1"/>
    <col min="10516" max="10752" width="9.140625" style="6"/>
    <col min="10753" max="10753" width="16.85546875" style="6" customWidth="1"/>
    <col min="10754" max="10754" width="17.140625" style="6" customWidth="1"/>
    <col min="10755" max="10755" width="19.7109375" style="6" customWidth="1"/>
    <col min="10756" max="10756" width="68.85546875" style="6" customWidth="1"/>
    <col min="10757" max="10757" width="19.140625" style="6" customWidth="1"/>
    <col min="10758" max="10758" width="21.140625" style="6" customWidth="1"/>
    <col min="10759" max="10759" width="18.7109375" style="6" customWidth="1"/>
    <col min="10760" max="10760" width="18" style="6" customWidth="1"/>
    <col min="10761" max="10761" width="16.85546875" style="6" customWidth="1"/>
    <col min="10762" max="10762" width="19.5703125" style="6" customWidth="1"/>
    <col min="10763" max="10763" width="19.140625" style="6" customWidth="1"/>
    <col min="10764" max="10764" width="16.7109375" style="6" customWidth="1"/>
    <col min="10765" max="10765" width="15" style="6" customWidth="1"/>
    <col min="10766" max="10766" width="15.7109375" style="6" customWidth="1"/>
    <col min="10767" max="10767" width="17.7109375" style="6" customWidth="1"/>
    <col min="10768" max="10768" width="18.5703125" style="6" customWidth="1"/>
    <col min="10769" max="10769" width="17.7109375" style="6" bestFit="1" customWidth="1"/>
    <col min="10770" max="10770" width="22.140625" style="6" customWidth="1"/>
    <col min="10771" max="10771" width="17.42578125" style="6" bestFit="1" customWidth="1"/>
    <col min="10772" max="11008" width="9.140625" style="6"/>
    <col min="11009" max="11009" width="16.85546875" style="6" customWidth="1"/>
    <col min="11010" max="11010" width="17.140625" style="6" customWidth="1"/>
    <col min="11011" max="11011" width="19.7109375" style="6" customWidth="1"/>
    <col min="11012" max="11012" width="68.85546875" style="6" customWidth="1"/>
    <col min="11013" max="11013" width="19.140625" style="6" customWidth="1"/>
    <col min="11014" max="11014" width="21.140625" style="6" customWidth="1"/>
    <col min="11015" max="11015" width="18.7109375" style="6" customWidth="1"/>
    <col min="11016" max="11016" width="18" style="6" customWidth="1"/>
    <col min="11017" max="11017" width="16.85546875" style="6" customWidth="1"/>
    <col min="11018" max="11018" width="19.5703125" style="6" customWidth="1"/>
    <col min="11019" max="11019" width="19.140625" style="6" customWidth="1"/>
    <col min="11020" max="11020" width="16.7109375" style="6" customWidth="1"/>
    <col min="11021" max="11021" width="15" style="6" customWidth="1"/>
    <col min="11022" max="11022" width="15.7109375" style="6" customWidth="1"/>
    <col min="11023" max="11023" width="17.7109375" style="6" customWidth="1"/>
    <col min="11024" max="11024" width="18.5703125" style="6" customWidth="1"/>
    <col min="11025" max="11025" width="17.7109375" style="6" bestFit="1" customWidth="1"/>
    <col min="11026" max="11026" width="22.140625" style="6" customWidth="1"/>
    <col min="11027" max="11027" width="17.42578125" style="6" bestFit="1" customWidth="1"/>
    <col min="11028" max="11264" width="9.140625" style="6"/>
    <col min="11265" max="11265" width="16.85546875" style="6" customWidth="1"/>
    <col min="11266" max="11266" width="17.140625" style="6" customWidth="1"/>
    <col min="11267" max="11267" width="19.7109375" style="6" customWidth="1"/>
    <col min="11268" max="11268" width="68.85546875" style="6" customWidth="1"/>
    <col min="11269" max="11269" width="19.140625" style="6" customWidth="1"/>
    <col min="11270" max="11270" width="21.140625" style="6" customWidth="1"/>
    <col min="11271" max="11271" width="18.7109375" style="6" customWidth="1"/>
    <col min="11272" max="11272" width="18" style="6" customWidth="1"/>
    <col min="11273" max="11273" width="16.85546875" style="6" customWidth="1"/>
    <col min="11274" max="11274" width="19.5703125" style="6" customWidth="1"/>
    <col min="11275" max="11275" width="19.140625" style="6" customWidth="1"/>
    <col min="11276" max="11276" width="16.7109375" style="6" customWidth="1"/>
    <col min="11277" max="11277" width="15" style="6" customWidth="1"/>
    <col min="11278" max="11278" width="15.7109375" style="6" customWidth="1"/>
    <col min="11279" max="11279" width="17.7109375" style="6" customWidth="1"/>
    <col min="11280" max="11280" width="18.5703125" style="6" customWidth="1"/>
    <col min="11281" max="11281" width="17.7109375" style="6" bestFit="1" customWidth="1"/>
    <col min="11282" max="11282" width="22.140625" style="6" customWidth="1"/>
    <col min="11283" max="11283" width="17.42578125" style="6" bestFit="1" customWidth="1"/>
    <col min="11284" max="11520" width="9.140625" style="6"/>
    <col min="11521" max="11521" width="16.85546875" style="6" customWidth="1"/>
    <col min="11522" max="11522" width="17.140625" style="6" customWidth="1"/>
    <col min="11523" max="11523" width="19.7109375" style="6" customWidth="1"/>
    <col min="11524" max="11524" width="68.85546875" style="6" customWidth="1"/>
    <col min="11525" max="11525" width="19.140625" style="6" customWidth="1"/>
    <col min="11526" max="11526" width="21.140625" style="6" customWidth="1"/>
    <col min="11527" max="11527" width="18.7109375" style="6" customWidth="1"/>
    <col min="11528" max="11528" width="18" style="6" customWidth="1"/>
    <col min="11529" max="11529" width="16.85546875" style="6" customWidth="1"/>
    <col min="11530" max="11530" width="19.5703125" style="6" customWidth="1"/>
    <col min="11531" max="11531" width="19.140625" style="6" customWidth="1"/>
    <col min="11532" max="11532" width="16.7109375" style="6" customWidth="1"/>
    <col min="11533" max="11533" width="15" style="6" customWidth="1"/>
    <col min="11534" max="11534" width="15.7109375" style="6" customWidth="1"/>
    <col min="11535" max="11535" width="17.7109375" style="6" customWidth="1"/>
    <col min="11536" max="11536" width="18.5703125" style="6" customWidth="1"/>
    <col min="11537" max="11537" width="17.7109375" style="6" bestFit="1" customWidth="1"/>
    <col min="11538" max="11538" width="22.140625" style="6" customWidth="1"/>
    <col min="11539" max="11539" width="17.42578125" style="6" bestFit="1" customWidth="1"/>
    <col min="11540" max="11776" width="9.140625" style="6"/>
    <col min="11777" max="11777" width="16.85546875" style="6" customWidth="1"/>
    <col min="11778" max="11778" width="17.140625" style="6" customWidth="1"/>
    <col min="11779" max="11779" width="19.7109375" style="6" customWidth="1"/>
    <col min="11780" max="11780" width="68.85546875" style="6" customWidth="1"/>
    <col min="11781" max="11781" width="19.140625" style="6" customWidth="1"/>
    <col min="11782" max="11782" width="21.140625" style="6" customWidth="1"/>
    <col min="11783" max="11783" width="18.7109375" style="6" customWidth="1"/>
    <col min="11784" max="11784" width="18" style="6" customWidth="1"/>
    <col min="11785" max="11785" width="16.85546875" style="6" customWidth="1"/>
    <col min="11786" max="11786" width="19.5703125" style="6" customWidth="1"/>
    <col min="11787" max="11787" width="19.140625" style="6" customWidth="1"/>
    <col min="11788" max="11788" width="16.7109375" style="6" customWidth="1"/>
    <col min="11789" max="11789" width="15" style="6" customWidth="1"/>
    <col min="11790" max="11790" width="15.7109375" style="6" customWidth="1"/>
    <col min="11791" max="11791" width="17.7109375" style="6" customWidth="1"/>
    <col min="11792" max="11792" width="18.5703125" style="6" customWidth="1"/>
    <col min="11793" max="11793" width="17.7109375" style="6" bestFit="1" customWidth="1"/>
    <col min="11794" max="11794" width="22.140625" style="6" customWidth="1"/>
    <col min="11795" max="11795" width="17.42578125" style="6" bestFit="1" customWidth="1"/>
    <col min="11796" max="12032" width="9.140625" style="6"/>
    <col min="12033" max="12033" width="16.85546875" style="6" customWidth="1"/>
    <col min="12034" max="12034" width="17.140625" style="6" customWidth="1"/>
    <col min="12035" max="12035" width="19.7109375" style="6" customWidth="1"/>
    <col min="12036" max="12036" width="68.85546875" style="6" customWidth="1"/>
    <col min="12037" max="12037" width="19.140625" style="6" customWidth="1"/>
    <col min="12038" max="12038" width="21.140625" style="6" customWidth="1"/>
    <col min="12039" max="12039" width="18.7109375" style="6" customWidth="1"/>
    <col min="12040" max="12040" width="18" style="6" customWidth="1"/>
    <col min="12041" max="12041" width="16.85546875" style="6" customWidth="1"/>
    <col min="12042" max="12042" width="19.5703125" style="6" customWidth="1"/>
    <col min="12043" max="12043" width="19.140625" style="6" customWidth="1"/>
    <col min="12044" max="12044" width="16.7109375" style="6" customWidth="1"/>
    <col min="12045" max="12045" width="15" style="6" customWidth="1"/>
    <col min="12046" max="12046" width="15.7109375" style="6" customWidth="1"/>
    <col min="12047" max="12047" width="17.7109375" style="6" customWidth="1"/>
    <col min="12048" max="12048" width="18.5703125" style="6" customWidth="1"/>
    <col min="12049" max="12049" width="17.7109375" style="6" bestFit="1" customWidth="1"/>
    <col min="12050" max="12050" width="22.140625" style="6" customWidth="1"/>
    <col min="12051" max="12051" width="17.42578125" style="6" bestFit="1" customWidth="1"/>
    <col min="12052" max="12288" width="9.140625" style="6"/>
    <col min="12289" max="12289" width="16.85546875" style="6" customWidth="1"/>
    <col min="12290" max="12290" width="17.140625" style="6" customWidth="1"/>
    <col min="12291" max="12291" width="19.7109375" style="6" customWidth="1"/>
    <col min="12292" max="12292" width="68.85546875" style="6" customWidth="1"/>
    <col min="12293" max="12293" width="19.140625" style="6" customWidth="1"/>
    <col min="12294" max="12294" width="21.140625" style="6" customWidth="1"/>
    <col min="12295" max="12295" width="18.7109375" style="6" customWidth="1"/>
    <col min="12296" max="12296" width="18" style="6" customWidth="1"/>
    <col min="12297" max="12297" width="16.85546875" style="6" customWidth="1"/>
    <col min="12298" max="12298" width="19.5703125" style="6" customWidth="1"/>
    <col min="12299" max="12299" width="19.140625" style="6" customWidth="1"/>
    <col min="12300" max="12300" width="16.7109375" style="6" customWidth="1"/>
    <col min="12301" max="12301" width="15" style="6" customWidth="1"/>
    <col min="12302" max="12302" width="15.7109375" style="6" customWidth="1"/>
    <col min="12303" max="12303" width="17.7109375" style="6" customWidth="1"/>
    <col min="12304" max="12304" width="18.5703125" style="6" customWidth="1"/>
    <col min="12305" max="12305" width="17.7109375" style="6" bestFit="1" customWidth="1"/>
    <col min="12306" max="12306" width="22.140625" style="6" customWidth="1"/>
    <col min="12307" max="12307" width="17.42578125" style="6" bestFit="1" customWidth="1"/>
    <col min="12308" max="12544" width="9.140625" style="6"/>
    <col min="12545" max="12545" width="16.85546875" style="6" customWidth="1"/>
    <col min="12546" max="12546" width="17.140625" style="6" customWidth="1"/>
    <col min="12547" max="12547" width="19.7109375" style="6" customWidth="1"/>
    <col min="12548" max="12548" width="68.85546875" style="6" customWidth="1"/>
    <col min="12549" max="12549" width="19.140625" style="6" customWidth="1"/>
    <col min="12550" max="12550" width="21.140625" style="6" customWidth="1"/>
    <col min="12551" max="12551" width="18.7109375" style="6" customWidth="1"/>
    <col min="12552" max="12552" width="18" style="6" customWidth="1"/>
    <col min="12553" max="12553" width="16.85546875" style="6" customWidth="1"/>
    <col min="12554" max="12554" width="19.5703125" style="6" customWidth="1"/>
    <col min="12555" max="12555" width="19.140625" style="6" customWidth="1"/>
    <col min="12556" max="12556" width="16.7109375" style="6" customWidth="1"/>
    <col min="12557" max="12557" width="15" style="6" customWidth="1"/>
    <col min="12558" max="12558" width="15.7109375" style="6" customWidth="1"/>
    <col min="12559" max="12559" width="17.7109375" style="6" customWidth="1"/>
    <col min="12560" max="12560" width="18.5703125" style="6" customWidth="1"/>
    <col min="12561" max="12561" width="17.7109375" style="6" bestFit="1" customWidth="1"/>
    <col min="12562" max="12562" width="22.140625" style="6" customWidth="1"/>
    <col min="12563" max="12563" width="17.42578125" style="6" bestFit="1" customWidth="1"/>
    <col min="12564" max="12800" width="9.140625" style="6"/>
    <col min="12801" max="12801" width="16.85546875" style="6" customWidth="1"/>
    <col min="12802" max="12802" width="17.140625" style="6" customWidth="1"/>
    <col min="12803" max="12803" width="19.7109375" style="6" customWidth="1"/>
    <col min="12804" max="12804" width="68.85546875" style="6" customWidth="1"/>
    <col min="12805" max="12805" width="19.140625" style="6" customWidth="1"/>
    <col min="12806" max="12806" width="21.140625" style="6" customWidth="1"/>
    <col min="12807" max="12807" width="18.7109375" style="6" customWidth="1"/>
    <col min="12808" max="12808" width="18" style="6" customWidth="1"/>
    <col min="12809" max="12809" width="16.85546875" style="6" customWidth="1"/>
    <col min="12810" max="12810" width="19.5703125" style="6" customWidth="1"/>
    <col min="12811" max="12811" width="19.140625" style="6" customWidth="1"/>
    <col min="12812" max="12812" width="16.7109375" style="6" customWidth="1"/>
    <col min="12813" max="12813" width="15" style="6" customWidth="1"/>
    <col min="12814" max="12814" width="15.7109375" style="6" customWidth="1"/>
    <col min="12815" max="12815" width="17.7109375" style="6" customWidth="1"/>
    <col min="12816" max="12816" width="18.5703125" style="6" customWidth="1"/>
    <col min="12817" max="12817" width="17.7109375" style="6" bestFit="1" customWidth="1"/>
    <col min="12818" max="12818" width="22.140625" style="6" customWidth="1"/>
    <col min="12819" max="12819" width="17.42578125" style="6" bestFit="1" customWidth="1"/>
    <col min="12820" max="13056" width="9.140625" style="6"/>
    <col min="13057" max="13057" width="16.85546875" style="6" customWidth="1"/>
    <col min="13058" max="13058" width="17.140625" style="6" customWidth="1"/>
    <col min="13059" max="13059" width="19.7109375" style="6" customWidth="1"/>
    <col min="13060" max="13060" width="68.85546875" style="6" customWidth="1"/>
    <col min="13061" max="13061" width="19.140625" style="6" customWidth="1"/>
    <col min="13062" max="13062" width="21.140625" style="6" customWidth="1"/>
    <col min="13063" max="13063" width="18.7109375" style="6" customWidth="1"/>
    <col min="13064" max="13064" width="18" style="6" customWidth="1"/>
    <col min="13065" max="13065" width="16.85546875" style="6" customWidth="1"/>
    <col min="13066" max="13066" width="19.5703125" style="6" customWidth="1"/>
    <col min="13067" max="13067" width="19.140625" style="6" customWidth="1"/>
    <col min="13068" max="13068" width="16.7109375" style="6" customWidth="1"/>
    <col min="13069" max="13069" width="15" style="6" customWidth="1"/>
    <col min="13070" max="13070" width="15.7109375" style="6" customWidth="1"/>
    <col min="13071" max="13071" width="17.7109375" style="6" customWidth="1"/>
    <col min="13072" max="13072" width="18.5703125" style="6" customWidth="1"/>
    <col min="13073" max="13073" width="17.7109375" style="6" bestFit="1" customWidth="1"/>
    <col min="13074" max="13074" width="22.140625" style="6" customWidth="1"/>
    <col min="13075" max="13075" width="17.42578125" style="6" bestFit="1" customWidth="1"/>
    <col min="13076" max="13312" width="9.140625" style="6"/>
    <col min="13313" max="13313" width="16.85546875" style="6" customWidth="1"/>
    <col min="13314" max="13314" width="17.140625" style="6" customWidth="1"/>
    <col min="13315" max="13315" width="19.7109375" style="6" customWidth="1"/>
    <col min="13316" max="13316" width="68.85546875" style="6" customWidth="1"/>
    <col min="13317" max="13317" width="19.140625" style="6" customWidth="1"/>
    <col min="13318" max="13318" width="21.140625" style="6" customWidth="1"/>
    <col min="13319" max="13319" width="18.7109375" style="6" customWidth="1"/>
    <col min="13320" max="13320" width="18" style="6" customWidth="1"/>
    <col min="13321" max="13321" width="16.85546875" style="6" customWidth="1"/>
    <col min="13322" max="13322" width="19.5703125" style="6" customWidth="1"/>
    <col min="13323" max="13323" width="19.140625" style="6" customWidth="1"/>
    <col min="13324" max="13324" width="16.7109375" style="6" customWidth="1"/>
    <col min="13325" max="13325" width="15" style="6" customWidth="1"/>
    <col min="13326" max="13326" width="15.7109375" style="6" customWidth="1"/>
    <col min="13327" max="13327" width="17.7109375" style="6" customWidth="1"/>
    <col min="13328" max="13328" width="18.5703125" style="6" customWidth="1"/>
    <col min="13329" max="13329" width="17.7109375" style="6" bestFit="1" customWidth="1"/>
    <col min="13330" max="13330" width="22.140625" style="6" customWidth="1"/>
    <col min="13331" max="13331" width="17.42578125" style="6" bestFit="1" customWidth="1"/>
    <col min="13332" max="13568" width="9.140625" style="6"/>
    <col min="13569" max="13569" width="16.85546875" style="6" customWidth="1"/>
    <col min="13570" max="13570" width="17.140625" style="6" customWidth="1"/>
    <col min="13571" max="13571" width="19.7109375" style="6" customWidth="1"/>
    <col min="13572" max="13572" width="68.85546875" style="6" customWidth="1"/>
    <col min="13573" max="13573" width="19.140625" style="6" customWidth="1"/>
    <col min="13574" max="13574" width="21.140625" style="6" customWidth="1"/>
    <col min="13575" max="13575" width="18.7109375" style="6" customWidth="1"/>
    <col min="13576" max="13576" width="18" style="6" customWidth="1"/>
    <col min="13577" max="13577" width="16.85546875" style="6" customWidth="1"/>
    <col min="13578" max="13578" width="19.5703125" style="6" customWidth="1"/>
    <col min="13579" max="13579" width="19.140625" style="6" customWidth="1"/>
    <col min="13580" max="13580" width="16.7109375" style="6" customWidth="1"/>
    <col min="13581" max="13581" width="15" style="6" customWidth="1"/>
    <col min="13582" max="13582" width="15.7109375" style="6" customWidth="1"/>
    <col min="13583" max="13583" width="17.7109375" style="6" customWidth="1"/>
    <col min="13584" max="13584" width="18.5703125" style="6" customWidth="1"/>
    <col min="13585" max="13585" width="17.7109375" style="6" bestFit="1" customWidth="1"/>
    <col min="13586" max="13586" width="22.140625" style="6" customWidth="1"/>
    <col min="13587" max="13587" width="17.42578125" style="6" bestFit="1" customWidth="1"/>
    <col min="13588" max="13824" width="9.140625" style="6"/>
    <col min="13825" max="13825" width="16.85546875" style="6" customWidth="1"/>
    <col min="13826" max="13826" width="17.140625" style="6" customWidth="1"/>
    <col min="13827" max="13827" width="19.7109375" style="6" customWidth="1"/>
    <col min="13828" max="13828" width="68.85546875" style="6" customWidth="1"/>
    <col min="13829" max="13829" width="19.140625" style="6" customWidth="1"/>
    <col min="13830" max="13830" width="21.140625" style="6" customWidth="1"/>
    <col min="13831" max="13831" width="18.7109375" style="6" customWidth="1"/>
    <col min="13832" max="13832" width="18" style="6" customWidth="1"/>
    <col min="13833" max="13833" width="16.85546875" style="6" customWidth="1"/>
    <col min="13834" max="13834" width="19.5703125" style="6" customWidth="1"/>
    <col min="13835" max="13835" width="19.140625" style="6" customWidth="1"/>
    <col min="13836" max="13836" width="16.7109375" style="6" customWidth="1"/>
    <col min="13837" max="13837" width="15" style="6" customWidth="1"/>
    <col min="13838" max="13838" width="15.7109375" style="6" customWidth="1"/>
    <col min="13839" max="13839" width="17.7109375" style="6" customWidth="1"/>
    <col min="13840" max="13840" width="18.5703125" style="6" customWidth="1"/>
    <col min="13841" max="13841" width="17.7109375" style="6" bestFit="1" customWidth="1"/>
    <col min="13842" max="13842" width="22.140625" style="6" customWidth="1"/>
    <col min="13843" max="13843" width="17.42578125" style="6" bestFit="1" customWidth="1"/>
    <col min="13844" max="14080" width="9.140625" style="6"/>
    <col min="14081" max="14081" width="16.85546875" style="6" customWidth="1"/>
    <col min="14082" max="14082" width="17.140625" style="6" customWidth="1"/>
    <col min="14083" max="14083" width="19.7109375" style="6" customWidth="1"/>
    <col min="14084" max="14084" width="68.85546875" style="6" customWidth="1"/>
    <col min="14085" max="14085" width="19.140625" style="6" customWidth="1"/>
    <col min="14086" max="14086" width="21.140625" style="6" customWidth="1"/>
    <col min="14087" max="14087" width="18.7109375" style="6" customWidth="1"/>
    <col min="14088" max="14088" width="18" style="6" customWidth="1"/>
    <col min="14089" max="14089" width="16.85546875" style="6" customWidth="1"/>
    <col min="14090" max="14090" width="19.5703125" style="6" customWidth="1"/>
    <col min="14091" max="14091" width="19.140625" style="6" customWidth="1"/>
    <col min="14092" max="14092" width="16.7109375" style="6" customWidth="1"/>
    <col min="14093" max="14093" width="15" style="6" customWidth="1"/>
    <col min="14094" max="14094" width="15.7109375" style="6" customWidth="1"/>
    <col min="14095" max="14095" width="17.7109375" style="6" customWidth="1"/>
    <col min="14096" max="14096" width="18.5703125" style="6" customWidth="1"/>
    <col min="14097" max="14097" width="17.7109375" style="6" bestFit="1" customWidth="1"/>
    <col min="14098" max="14098" width="22.140625" style="6" customWidth="1"/>
    <col min="14099" max="14099" width="17.42578125" style="6" bestFit="1" customWidth="1"/>
    <col min="14100" max="14336" width="9.140625" style="6"/>
    <col min="14337" max="14337" width="16.85546875" style="6" customWidth="1"/>
    <col min="14338" max="14338" width="17.140625" style="6" customWidth="1"/>
    <col min="14339" max="14339" width="19.7109375" style="6" customWidth="1"/>
    <col min="14340" max="14340" width="68.85546875" style="6" customWidth="1"/>
    <col min="14341" max="14341" width="19.140625" style="6" customWidth="1"/>
    <col min="14342" max="14342" width="21.140625" style="6" customWidth="1"/>
    <col min="14343" max="14343" width="18.7109375" style="6" customWidth="1"/>
    <col min="14344" max="14344" width="18" style="6" customWidth="1"/>
    <col min="14345" max="14345" width="16.85546875" style="6" customWidth="1"/>
    <col min="14346" max="14346" width="19.5703125" style="6" customWidth="1"/>
    <col min="14347" max="14347" width="19.140625" style="6" customWidth="1"/>
    <col min="14348" max="14348" width="16.7109375" style="6" customWidth="1"/>
    <col min="14349" max="14349" width="15" style="6" customWidth="1"/>
    <col min="14350" max="14350" width="15.7109375" style="6" customWidth="1"/>
    <col min="14351" max="14351" width="17.7109375" style="6" customWidth="1"/>
    <col min="14352" max="14352" width="18.5703125" style="6" customWidth="1"/>
    <col min="14353" max="14353" width="17.7109375" style="6" bestFit="1" customWidth="1"/>
    <col min="14354" max="14354" width="22.140625" style="6" customWidth="1"/>
    <col min="14355" max="14355" width="17.42578125" style="6" bestFit="1" customWidth="1"/>
    <col min="14356" max="14592" width="9.140625" style="6"/>
    <col min="14593" max="14593" width="16.85546875" style="6" customWidth="1"/>
    <col min="14594" max="14594" width="17.140625" style="6" customWidth="1"/>
    <col min="14595" max="14595" width="19.7109375" style="6" customWidth="1"/>
    <col min="14596" max="14596" width="68.85546875" style="6" customWidth="1"/>
    <col min="14597" max="14597" width="19.140625" style="6" customWidth="1"/>
    <col min="14598" max="14598" width="21.140625" style="6" customWidth="1"/>
    <col min="14599" max="14599" width="18.7109375" style="6" customWidth="1"/>
    <col min="14600" max="14600" width="18" style="6" customWidth="1"/>
    <col min="14601" max="14601" width="16.85546875" style="6" customWidth="1"/>
    <col min="14602" max="14602" width="19.5703125" style="6" customWidth="1"/>
    <col min="14603" max="14603" width="19.140625" style="6" customWidth="1"/>
    <col min="14604" max="14604" width="16.7109375" style="6" customWidth="1"/>
    <col min="14605" max="14605" width="15" style="6" customWidth="1"/>
    <col min="14606" max="14606" width="15.7109375" style="6" customWidth="1"/>
    <col min="14607" max="14607" width="17.7109375" style="6" customWidth="1"/>
    <col min="14608" max="14608" width="18.5703125" style="6" customWidth="1"/>
    <col min="14609" max="14609" width="17.7109375" style="6" bestFit="1" customWidth="1"/>
    <col min="14610" max="14610" width="22.140625" style="6" customWidth="1"/>
    <col min="14611" max="14611" width="17.42578125" style="6" bestFit="1" customWidth="1"/>
    <col min="14612" max="14848" width="9.140625" style="6"/>
    <col min="14849" max="14849" width="16.85546875" style="6" customWidth="1"/>
    <col min="14850" max="14850" width="17.140625" style="6" customWidth="1"/>
    <col min="14851" max="14851" width="19.7109375" style="6" customWidth="1"/>
    <col min="14852" max="14852" width="68.85546875" style="6" customWidth="1"/>
    <col min="14853" max="14853" width="19.140625" style="6" customWidth="1"/>
    <col min="14854" max="14854" width="21.140625" style="6" customWidth="1"/>
    <col min="14855" max="14855" width="18.7109375" style="6" customWidth="1"/>
    <col min="14856" max="14856" width="18" style="6" customWidth="1"/>
    <col min="14857" max="14857" width="16.85546875" style="6" customWidth="1"/>
    <col min="14858" max="14858" width="19.5703125" style="6" customWidth="1"/>
    <col min="14859" max="14859" width="19.140625" style="6" customWidth="1"/>
    <col min="14860" max="14860" width="16.7109375" style="6" customWidth="1"/>
    <col min="14861" max="14861" width="15" style="6" customWidth="1"/>
    <col min="14862" max="14862" width="15.7109375" style="6" customWidth="1"/>
    <col min="14863" max="14863" width="17.7109375" style="6" customWidth="1"/>
    <col min="14864" max="14864" width="18.5703125" style="6" customWidth="1"/>
    <col min="14865" max="14865" width="17.7109375" style="6" bestFit="1" customWidth="1"/>
    <col min="14866" max="14866" width="22.140625" style="6" customWidth="1"/>
    <col min="14867" max="14867" width="17.42578125" style="6" bestFit="1" customWidth="1"/>
    <col min="14868" max="15104" width="9.140625" style="6"/>
    <col min="15105" max="15105" width="16.85546875" style="6" customWidth="1"/>
    <col min="15106" max="15106" width="17.140625" style="6" customWidth="1"/>
    <col min="15107" max="15107" width="19.7109375" style="6" customWidth="1"/>
    <col min="15108" max="15108" width="68.85546875" style="6" customWidth="1"/>
    <col min="15109" max="15109" width="19.140625" style="6" customWidth="1"/>
    <col min="15110" max="15110" width="21.140625" style="6" customWidth="1"/>
    <col min="15111" max="15111" width="18.7109375" style="6" customWidth="1"/>
    <col min="15112" max="15112" width="18" style="6" customWidth="1"/>
    <col min="15113" max="15113" width="16.85546875" style="6" customWidth="1"/>
    <col min="15114" max="15114" width="19.5703125" style="6" customWidth="1"/>
    <col min="15115" max="15115" width="19.140625" style="6" customWidth="1"/>
    <col min="15116" max="15116" width="16.7109375" style="6" customWidth="1"/>
    <col min="15117" max="15117" width="15" style="6" customWidth="1"/>
    <col min="15118" max="15118" width="15.7109375" style="6" customWidth="1"/>
    <col min="15119" max="15119" width="17.7109375" style="6" customWidth="1"/>
    <col min="15120" max="15120" width="18.5703125" style="6" customWidth="1"/>
    <col min="15121" max="15121" width="17.7109375" style="6" bestFit="1" customWidth="1"/>
    <col min="15122" max="15122" width="22.140625" style="6" customWidth="1"/>
    <col min="15123" max="15123" width="17.42578125" style="6" bestFit="1" customWidth="1"/>
    <col min="15124" max="15360" width="9.140625" style="6"/>
    <col min="15361" max="15361" width="16.85546875" style="6" customWidth="1"/>
    <col min="15362" max="15362" width="17.140625" style="6" customWidth="1"/>
    <col min="15363" max="15363" width="19.7109375" style="6" customWidth="1"/>
    <col min="15364" max="15364" width="68.85546875" style="6" customWidth="1"/>
    <col min="15365" max="15365" width="19.140625" style="6" customWidth="1"/>
    <col min="15366" max="15366" width="21.140625" style="6" customWidth="1"/>
    <col min="15367" max="15367" width="18.7109375" style="6" customWidth="1"/>
    <col min="15368" max="15368" width="18" style="6" customWidth="1"/>
    <col min="15369" max="15369" width="16.85546875" style="6" customWidth="1"/>
    <col min="15370" max="15370" width="19.5703125" style="6" customWidth="1"/>
    <col min="15371" max="15371" width="19.140625" style="6" customWidth="1"/>
    <col min="15372" max="15372" width="16.7109375" style="6" customWidth="1"/>
    <col min="15373" max="15373" width="15" style="6" customWidth="1"/>
    <col min="15374" max="15374" width="15.7109375" style="6" customWidth="1"/>
    <col min="15375" max="15375" width="17.7109375" style="6" customWidth="1"/>
    <col min="15376" max="15376" width="18.5703125" style="6" customWidth="1"/>
    <col min="15377" max="15377" width="17.7109375" style="6" bestFit="1" customWidth="1"/>
    <col min="15378" max="15378" width="22.140625" style="6" customWidth="1"/>
    <col min="15379" max="15379" width="17.42578125" style="6" bestFit="1" customWidth="1"/>
    <col min="15380" max="15616" width="9.140625" style="6"/>
    <col min="15617" max="15617" width="16.85546875" style="6" customWidth="1"/>
    <col min="15618" max="15618" width="17.140625" style="6" customWidth="1"/>
    <col min="15619" max="15619" width="19.7109375" style="6" customWidth="1"/>
    <col min="15620" max="15620" width="68.85546875" style="6" customWidth="1"/>
    <col min="15621" max="15621" width="19.140625" style="6" customWidth="1"/>
    <col min="15622" max="15622" width="21.140625" style="6" customWidth="1"/>
    <col min="15623" max="15623" width="18.7109375" style="6" customWidth="1"/>
    <col min="15624" max="15624" width="18" style="6" customWidth="1"/>
    <col min="15625" max="15625" width="16.85546875" style="6" customWidth="1"/>
    <col min="15626" max="15626" width="19.5703125" style="6" customWidth="1"/>
    <col min="15627" max="15627" width="19.140625" style="6" customWidth="1"/>
    <col min="15628" max="15628" width="16.7109375" style="6" customWidth="1"/>
    <col min="15629" max="15629" width="15" style="6" customWidth="1"/>
    <col min="15630" max="15630" width="15.7109375" style="6" customWidth="1"/>
    <col min="15631" max="15631" width="17.7109375" style="6" customWidth="1"/>
    <col min="15632" max="15632" width="18.5703125" style="6" customWidth="1"/>
    <col min="15633" max="15633" width="17.7109375" style="6" bestFit="1" customWidth="1"/>
    <col min="15634" max="15634" width="22.140625" style="6" customWidth="1"/>
    <col min="15635" max="15635" width="17.42578125" style="6" bestFit="1" customWidth="1"/>
    <col min="15636" max="15872" width="9.140625" style="6"/>
    <col min="15873" max="15873" width="16.85546875" style="6" customWidth="1"/>
    <col min="15874" max="15874" width="17.140625" style="6" customWidth="1"/>
    <col min="15875" max="15875" width="19.7109375" style="6" customWidth="1"/>
    <col min="15876" max="15876" width="68.85546875" style="6" customWidth="1"/>
    <col min="15877" max="15877" width="19.140625" style="6" customWidth="1"/>
    <col min="15878" max="15878" width="21.140625" style="6" customWidth="1"/>
    <col min="15879" max="15879" width="18.7109375" style="6" customWidth="1"/>
    <col min="15880" max="15880" width="18" style="6" customWidth="1"/>
    <col min="15881" max="15881" width="16.85546875" style="6" customWidth="1"/>
    <col min="15882" max="15882" width="19.5703125" style="6" customWidth="1"/>
    <col min="15883" max="15883" width="19.140625" style="6" customWidth="1"/>
    <col min="15884" max="15884" width="16.7109375" style="6" customWidth="1"/>
    <col min="15885" max="15885" width="15" style="6" customWidth="1"/>
    <col min="15886" max="15886" width="15.7109375" style="6" customWidth="1"/>
    <col min="15887" max="15887" width="17.7109375" style="6" customWidth="1"/>
    <col min="15888" max="15888" width="18.5703125" style="6" customWidth="1"/>
    <col min="15889" max="15889" width="17.7109375" style="6" bestFit="1" customWidth="1"/>
    <col min="15890" max="15890" width="22.140625" style="6" customWidth="1"/>
    <col min="15891" max="15891" width="17.42578125" style="6" bestFit="1" customWidth="1"/>
    <col min="15892" max="16128" width="9.140625" style="6"/>
    <col min="16129" max="16129" width="16.85546875" style="6" customWidth="1"/>
    <col min="16130" max="16130" width="17.140625" style="6" customWidth="1"/>
    <col min="16131" max="16131" width="19.7109375" style="6" customWidth="1"/>
    <col min="16132" max="16132" width="68.85546875" style="6" customWidth="1"/>
    <col min="16133" max="16133" width="19.140625" style="6" customWidth="1"/>
    <col min="16134" max="16134" width="21.140625" style="6" customWidth="1"/>
    <col min="16135" max="16135" width="18.7109375" style="6" customWidth="1"/>
    <col min="16136" max="16136" width="18" style="6" customWidth="1"/>
    <col min="16137" max="16137" width="16.85546875" style="6" customWidth="1"/>
    <col min="16138" max="16138" width="19.5703125" style="6" customWidth="1"/>
    <col min="16139" max="16139" width="19.140625" style="6" customWidth="1"/>
    <col min="16140" max="16140" width="16.7109375" style="6" customWidth="1"/>
    <col min="16141" max="16141" width="15" style="6" customWidth="1"/>
    <col min="16142" max="16142" width="15.7109375" style="6" customWidth="1"/>
    <col min="16143" max="16143" width="17.7109375" style="6" customWidth="1"/>
    <col min="16144" max="16144" width="18.5703125" style="6" customWidth="1"/>
    <col min="16145" max="16145" width="17.7109375" style="6" bestFit="1" customWidth="1"/>
    <col min="16146" max="16146" width="22.140625" style="6" customWidth="1"/>
    <col min="16147" max="16147" width="17.42578125" style="6" bestFit="1" customWidth="1"/>
    <col min="16148" max="16384" width="9.140625" style="6"/>
  </cols>
  <sheetData>
    <row r="1" spans="1:19" ht="84" customHeight="1" x14ac:dyDescent="0.25">
      <c r="K1" s="611" t="s">
        <v>725</v>
      </c>
      <c r="L1" s="611"/>
      <c r="M1" s="611"/>
      <c r="N1" s="611"/>
      <c r="O1" s="611"/>
      <c r="P1" s="611"/>
    </row>
    <row r="2" spans="1:19" ht="19.5" customHeight="1" x14ac:dyDescent="0.25">
      <c r="L2" s="611" t="s">
        <v>481</v>
      </c>
      <c r="M2" s="611"/>
      <c r="N2" s="611"/>
      <c r="O2" s="611"/>
      <c r="P2" s="611"/>
    </row>
    <row r="3" spans="1:19" ht="21.75" customHeight="1" x14ac:dyDescent="0.25">
      <c r="A3" s="603" t="s">
        <v>682</v>
      </c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  <c r="M3" s="603"/>
      <c r="N3" s="603"/>
      <c r="O3" s="603"/>
      <c r="P3" s="603"/>
    </row>
    <row r="4" spans="1:19" ht="39" customHeight="1" x14ac:dyDescent="0.25">
      <c r="A4" s="604" t="s">
        <v>683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</row>
    <row r="5" spans="1:19" ht="24" customHeight="1" x14ac:dyDescent="0.25">
      <c r="A5" s="125"/>
      <c r="B5" s="125"/>
      <c r="C5" s="125"/>
      <c r="D5" s="605" t="s">
        <v>3</v>
      </c>
      <c r="E5" s="605"/>
      <c r="F5" s="125"/>
      <c r="G5" s="125"/>
      <c r="H5" s="125"/>
      <c r="I5" s="125"/>
      <c r="J5" s="125"/>
      <c r="K5" s="125"/>
      <c r="L5" s="125"/>
      <c r="M5" s="125"/>
      <c r="N5" s="125"/>
      <c r="O5" s="125"/>
      <c r="P5" s="125"/>
    </row>
    <row r="6" spans="1:19" x14ac:dyDescent="0.25">
      <c r="D6" s="123" t="s">
        <v>4</v>
      </c>
      <c r="P6" s="126" t="s">
        <v>129</v>
      </c>
    </row>
    <row r="7" spans="1:19" ht="36" customHeight="1" x14ac:dyDescent="0.25">
      <c r="A7" s="597" t="s">
        <v>130</v>
      </c>
      <c r="B7" s="597" t="s">
        <v>131</v>
      </c>
      <c r="C7" s="598" t="s">
        <v>132</v>
      </c>
      <c r="D7" s="599" t="s">
        <v>133</v>
      </c>
      <c r="E7" s="597" t="s">
        <v>134</v>
      </c>
      <c r="F7" s="597"/>
      <c r="G7" s="597"/>
      <c r="H7" s="597"/>
      <c r="I7" s="597"/>
      <c r="J7" s="597" t="s">
        <v>10</v>
      </c>
      <c r="K7" s="597"/>
      <c r="L7" s="597"/>
      <c r="M7" s="597"/>
      <c r="N7" s="597"/>
      <c r="O7" s="597"/>
      <c r="P7" s="597" t="s">
        <v>135</v>
      </c>
    </row>
    <row r="8" spans="1:19" ht="18.75" customHeight="1" x14ac:dyDescent="0.25">
      <c r="A8" s="597"/>
      <c r="B8" s="597"/>
      <c r="C8" s="598"/>
      <c r="D8" s="600"/>
      <c r="E8" s="597" t="s">
        <v>11</v>
      </c>
      <c r="F8" s="606" t="s">
        <v>136</v>
      </c>
      <c r="G8" s="597" t="s">
        <v>137</v>
      </c>
      <c r="H8" s="597"/>
      <c r="I8" s="606" t="s">
        <v>138</v>
      </c>
      <c r="J8" s="597" t="s">
        <v>11</v>
      </c>
      <c r="K8" s="599" t="s">
        <v>12</v>
      </c>
      <c r="L8" s="606" t="s">
        <v>136</v>
      </c>
      <c r="M8" s="597" t="s">
        <v>137</v>
      </c>
      <c r="N8" s="597"/>
      <c r="O8" s="606" t="s">
        <v>138</v>
      </c>
      <c r="P8" s="597"/>
    </row>
    <row r="9" spans="1:19" ht="13.5" customHeight="1" x14ac:dyDescent="0.25">
      <c r="A9" s="597"/>
      <c r="B9" s="597"/>
      <c r="C9" s="598"/>
      <c r="D9" s="600"/>
      <c r="E9" s="597"/>
      <c r="F9" s="606"/>
      <c r="G9" s="597" t="s">
        <v>139</v>
      </c>
      <c r="H9" s="597" t="s">
        <v>140</v>
      </c>
      <c r="I9" s="606"/>
      <c r="J9" s="597"/>
      <c r="K9" s="600"/>
      <c r="L9" s="606"/>
      <c r="M9" s="597" t="s">
        <v>139</v>
      </c>
      <c r="N9" s="597" t="s">
        <v>140</v>
      </c>
      <c r="O9" s="606"/>
      <c r="P9" s="597"/>
    </row>
    <row r="10" spans="1:19" ht="87.75" customHeight="1" x14ac:dyDescent="0.25">
      <c r="A10" s="597"/>
      <c r="B10" s="597"/>
      <c r="C10" s="598"/>
      <c r="D10" s="601"/>
      <c r="E10" s="597"/>
      <c r="F10" s="606"/>
      <c r="G10" s="597"/>
      <c r="H10" s="597"/>
      <c r="I10" s="606"/>
      <c r="J10" s="597"/>
      <c r="K10" s="601"/>
      <c r="L10" s="606"/>
      <c r="M10" s="597"/>
      <c r="N10" s="597"/>
      <c r="O10" s="606"/>
      <c r="P10" s="597"/>
    </row>
    <row r="11" spans="1:19" s="128" customFormat="1" ht="12.75" customHeight="1" x14ac:dyDescent="0.25">
      <c r="A11" s="127">
        <v>1</v>
      </c>
      <c r="B11" s="127">
        <f>A11+1</f>
        <v>2</v>
      </c>
      <c r="C11" s="127">
        <f t="shared" ref="C11:J11" si="0">B11+1</f>
        <v>3</v>
      </c>
      <c r="D11" s="127">
        <f t="shared" si="0"/>
        <v>4</v>
      </c>
      <c r="E11" s="127">
        <f t="shared" si="0"/>
        <v>5</v>
      </c>
      <c r="F11" s="127">
        <f t="shared" si="0"/>
        <v>6</v>
      </c>
      <c r="G11" s="127">
        <f t="shared" si="0"/>
        <v>7</v>
      </c>
      <c r="H11" s="127">
        <f t="shared" si="0"/>
        <v>8</v>
      </c>
      <c r="I11" s="127">
        <f t="shared" si="0"/>
        <v>9</v>
      </c>
      <c r="J11" s="127">
        <f t="shared" si="0"/>
        <v>10</v>
      </c>
      <c r="K11" s="127">
        <f>J11+1</f>
        <v>11</v>
      </c>
      <c r="L11" s="127">
        <v>12</v>
      </c>
      <c r="M11" s="127">
        <f>L11+1</f>
        <v>13</v>
      </c>
      <c r="N11" s="127">
        <f>M11+1</f>
        <v>14</v>
      </c>
      <c r="O11" s="127">
        <f>N11+1</f>
        <v>15</v>
      </c>
      <c r="P11" s="127">
        <v>16</v>
      </c>
    </row>
    <row r="12" spans="1:19" s="133" customFormat="1" ht="42.75" customHeight="1" x14ac:dyDescent="0.25">
      <c r="A12" s="129" t="s">
        <v>141</v>
      </c>
      <c r="B12" s="129" t="s">
        <v>142</v>
      </c>
      <c r="C12" s="130"/>
      <c r="D12" s="131" t="s">
        <v>143</v>
      </c>
      <c r="E12" s="132">
        <f>E13</f>
        <v>-6603000</v>
      </c>
      <c r="F12" s="132">
        <f t="shared" ref="F12:N12" si="1">F13</f>
        <v>-6603000</v>
      </c>
      <c r="G12" s="132">
        <f t="shared" si="1"/>
        <v>0</v>
      </c>
      <c r="H12" s="132">
        <f t="shared" si="1"/>
        <v>0</v>
      </c>
      <c r="I12" s="132">
        <f t="shared" si="1"/>
        <v>0</v>
      </c>
      <c r="J12" s="132">
        <f>J13</f>
        <v>4014350</v>
      </c>
      <c r="K12" s="132">
        <f t="shared" si="1"/>
        <v>4014350.0000999998</v>
      </c>
      <c r="L12" s="132">
        <f t="shared" si="1"/>
        <v>0</v>
      </c>
      <c r="M12" s="132">
        <f t="shared" si="1"/>
        <v>0</v>
      </c>
      <c r="N12" s="132">
        <f t="shared" si="1"/>
        <v>0</v>
      </c>
      <c r="O12" s="132">
        <f>O13</f>
        <v>4014350.0000999998</v>
      </c>
      <c r="P12" s="132">
        <f>E12+J12</f>
        <v>-2588650</v>
      </c>
      <c r="Q12" s="447">
        <f>P12+'dod 2'!P12</f>
        <v>42688285</v>
      </c>
      <c r="R12" s="134">
        <f>K12-O12</f>
        <v>0</v>
      </c>
      <c r="S12" s="135">
        <f t="shared" ref="S12:S87" si="2">O12-K12</f>
        <v>0</v>
      </c>
    </row>
    <row r="13" spans="1:19" s="133" customFormat="1" ht="42.75" customHeight="1" x14ac:dyDescent="0.25">
      <c r="A13" s="129" t="s">
        <v>144</v>
      </c>
      <c r="B13" s="129"/>
      <c r="C13" s="130"/>
      <c r="D13" s="131" t="s">
        <v>145</v>
      </c>
      <c r="E13" s="132">
        <f>SUM(E14:E32)-E17-E20</f>
        <v>-6603000</v>
      </c>
      <c r="F13" s="132">
        <f>SUM(F14:F32)-F17-F20</f>
        <v>-6603000</v>
      </c>
      <c r="G13" s="132">
        <f>SUM(G14:G32)-G17-G20</f>
        <v>0</v>
      </c>
      <c r="H13" s="132">
        <f>SUM(H14:H32)-H17-H20</f>
        <v>0</v>
      </c>
      <c r="I13" s="132">
        <f>SUM(I14:I32)-I17-I20</f>
        <v>0</v>
      </c>
      <c r="J13" s="132">
        <f>SUM(J14:J32)</f>
        <v>4014350</v>
      </c>
      <c r="K13" s="132">
        <f>SUM(K14:K32)-K17-K20+0.0001</f>
        <v>4014350.0000999998</v>
      </c>
      <c r="L13" s="132">
        <f>SUM(L14:L32)-L17-L20</f>
        <v>0</v>
      </c>
      <c r="M13" s="132">
        <f>SUM(M14:M32)-M17-M20</f>
        <v>0</v>
      </c>
      <c r="N13" s="132">
        <f>SUM(N14:N32)-N17-N20</f>
        <v>0</v>
      </c>
      <c r="O13" s="132">
        <f>SUM(O14:O32)-O17-O20+0.0001</f>
        <v>4014350.0000999998</v>
      </c>
      <c r="P13" s="132">
        <f>SUM(P14:P32)-P17-P20</f>
        <v>-2588650</v>
      </c>
      <c r="R13" s="134">
        <f t="shared" ref="R13:R88" si="3">K13-O13</f>
        <v>0</v>
      </c>
      <c r="S13" s="135">
        <f t="shared" si="2"/>
        <v>0</v>
      </c>
    </row>
    <row r="14" spans="1:19" s="139" customFormat="1" ht="47.25" x14ac:dyDescent="0.25">
      <c r="A14" s="136" t="s">
        <v>146</v>
      </c>
      <c r="B14" s="136" t="s">
        <v>147</v>
      </c>
      <c r="C14" s="137" t="s">
        <v>148</v>
      </c>
      <c r="D14" s="32" t="s">
        <v>149</v>
      </c>
      <c r="E14" s="138">
        <f t="shared" ref="E14:E52" si="4">F14+I14</f>
        <v>-1200000</v>
      </c>
      <c r="F14" s="138">
        <v>-1200000</v>
      </c>
      <c r="G14" s="138"/>
      <c r="H14" s="138"/>
      <c r="I14" s="138"/>
      <c r="J14" s="138">
        <f>L14+O14</f>
        <v>-544650</v>
      </c>
      <c r="K14" s="138">
        <v>-544650</v>
      </c>
      <c r="L14" s="138"/>
      <c r="M14" s="138"/>
      <c r="N14" s="138"/>
      <c r="O14" s="138">
        <v>-544650</v>
      </c>
      <c r="P14" s="138">
        <f>E14+J14</f>
        <v>-1744650</v>
      </c>
      <c r="R14" s="134">
        <f t="shared" si="3"/>
        <v>0</v>
      </c>
      <c r="S14" s="135">
        <f t="shared" si="2"/>
        <v>0</v>
      </c>
    </row>
    <row r="15" spans="1:19" s="144" customFormat="1" ht="24" customHeight="1" x14ac:dyDescent="0.25">
      <c r="A15" s="140" t="s">
        <v>150</v>
      </c>
      <c r="B15" s="140" t="s">
        <v>151</v>
      </c>
      <c r="C15" s="141" t="s">
        <v>152</v>
      </c>
      <c r="D15" s="142" t="s">
        <v>153</v>
      </c>
      <c r="E15" s="143">
        <f t="shared" si="4"/>
        <v>-120000</v>
      </c>
      <c r="F15" s="143">
        <v>-120000</v>
      </c>
      <c r="G15" s="143"/>
      <c r="H15" s="143"/>
      <c r="I15" s="143"/>
      <c r="J15" s="143">
        <f t="shared" ref="J15:J31" si="5">L15+O15</f>
        <v>0</v>
      </c>
      <c r="K15" s="143"/>
      <c r="L15" s="143"/>
      <c r="M15" s="143"/>
      <c r="N15" s="143"/>
      <c r="O15" s="143"/>
      <c r="P15" s="143">
        <f>E15+J15</f>
        <v>-120000</v>
      </c>
      <c r="R15" s="145">
        <f t="shared" si="3"/>
        <v>0</v>
      </c>
      <c r="S15" s="73">
        <f t="shared" si="2"/>
        <v>0</v>
      </c>
    </row>
    <row r="16" spans="1:19" s="144" customFormat="1" ht="34.5" customHeight="1" x14ac:dyDescent="0.25">
      <c r="A16" s="140" t="s">
        <v>154</v>
      </c>
      <c r="B16" s="140" t="s">
        <v>155</v>
      </c>
      <c r="C16" s="146" t="s">
        <v>156</v>
      </c>
      <c r="D16" s="142" t="s">
        <v>157</v>
      </c>
      <c r="E16" s="147">
        <f>F16+I16</f>
        <v>-2262000</v>
      </c>
      <c r="F16" s="147">
        <v>-2262000</v>
      </c>
      <c r="G16" s="147"/>
      <c r="H16" s="147"/>
      <c r="I16" s="147"/>
      <c r="J16" s="147">
        <f>L16+O16</f>
        <v>0</v>
      </c>
      <c r="K16" s="147"/>
      <c r="L16" s="147"/>
      <c r="M16" s="147"/>
      <c r="N16" s="147"/>
      <c r="O16" s="147"/>
      <c r="P16" s="143">
        <f>E16+J16</f>
        <v>-2262000</v>
      </c>
      <c r="R16" s="145">
        <f t="shared" si="3"/>
        <v>0</v>
      </c>
      <c r="S16" s="73">
        <f t="shared" si="2"/>
        <v>0</v>
      </c>
    </row>
    <row r="17" spans="1:19" s="153" customFormat="1" ht="47.25" hidden="1" customHeight="1" x14ac:dyDescent="0.25">
      <c r="A17" s="148"/>
      <c r="B17" s="148"/>
      <c r="C17" s="149"/>
      <c r="D17" s="150" t="s">
        <v>158</v>
      </c>
      <c r="E17" s="151">
        <f t="shared" si="4"/>
        <v>0</v>
      </c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2">
        <f t="shared" ref="P17:P74" si="6">E17+J17</f>
        <v>0</v>
      </c>
      <c r="R17" s="145">
        <f t="shared" si="3"/>
        <v>0</v>
      </c>
      <c r="S17" s="73">
        <f t="shared" si="2"/>
        <v>0</v>
      </c>
    </row>
    <row r="18" spans="1:19" s="144" customFormat="1" ht="30.75" customHeight="1" x14ac:dyDescent="0.25">
      <c r="A18" s="140" t="s">
        <v>159</v>
      </c>
      <c r="B18" s="140" t="s">
        <v>160</v>
      </c>
      <c r="C18" s="146" t="s">
        <v>161</v>
      </c>
      <c r="D18" s="154" t="s">
        <v>162</v>
      </c>
      <c r="E18" s="147">
        <f t="shared" si="4"/>
        <v>-672000</v>
      </c>
      <c r="F18" s="147">
        <v>-672000</v>
      </c>
      <c r="G18" s="147"/>
      <c r="H18" s="147"/>
      <c r="I18" s="147"/>
      <c r="J18" s="147">
        <f t="shared" si="5"/>
        <v>0</v>
      </c>
      <c r="K18" s="147"/>
      <c r="L18" s="147"/>
      <c r="M18" s="147"/>
      <c r="N18" s="147"/>
      <c r="O18" s="147"/>
      <c r="P18" s="143">
        <f t="shared" si="6"/>
        <v>-672000</v>
      </c>
      <c r="R18" s="145">
        <f t="shared" si="3"/>
        <v>0</v>
      </c>
      <c r="S18" s="73">
        <f t="shared" si="2"/>
        <v>0</v>
      </c>
    </row>
    <row r="19" spans="1:19" s="144" customFormat="1" ht="30.75" hidden="1" customHeight="1" x14ac:dyDescent="0.25">
      <c r="A19" s="140" t="s">
        <v>163</v>
      </c>
      <c r="B19" s="140" t="s">
        <v>164</v>
      </c>
      <c r="C19" s="155" t="s">
        <v>165</v>
      </c>
      <c r="D19" s="156" t="s">
        <v>166</v>
      </c>
      <c r="E19" s="147">
        <f t="shared" si="4"/>
        <v>0</v>
      </c>
      <c r="F19" s="147"/>
      <c r="G19" s="147"/>
      <c r="H19" s="147"/>
      <c r="I19" s="147"/>
      <c r="J19" s="147">
        <f t="shared" si="5"/>
        <v>0</v>
      </c>
      <c r="K19" s="147"/>
      <c r="L19" s="147"/>
      <c r="M19" s="147"/>
      <c r="N19" s="147"/>
      <c r="O19" s="147"/>
      <c r="P19" s="143">
        <f t="shared" si="6"/>
        <v>0</v>
      </c>
      <c r="R19" s="145">
        <f t="shared" si="3"/>
        <v>0</v>
      </c>
      <c r="S19" s="73">
        <f t="shared" si="2"/>
        <v>0</v>
      </c>
    </row>
    <row r="20" spans="1:19" s="153" customFormat="1" ht="78.75" hidden="1" customHeight="1" x14ac:dyDescent="0.25">
      <c r="A20" s="148"/>
      <c r="B20" s="148"/>
      <c r="C20" s="157"/>
      <c r="D20" s="158" t="s">
        <v>167</v>
      </c>
      <c r="E20" s="151">
        <f t="shared" si="4"/>
        <v>0</v>
      </c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2">
        <f t="shared" si="6"/>
        <v>0</v>
      </c>
      <c r="R20" s="145">
        <f t="shared" si="3"/>
        <v>0</v>
      </c>
      <c r="S20" s="73">
        <f t="shared" si="2"/>
        <v>0</v>
      </c>
    </row>
    <row r="21" spans="1:19" s="144" customFormat="1" ht="30.75" customHeight="1" x14ac:dyDescent="0.25">
      <c r="A21" s="140" t="s">
        <v>168</v>
      </c>
      <c r="B21" s="140" t="s">
        <v>169</v>
      </c>
      <c r="C21" s="155" t="s">
        <v>165</v>
      </c>
      <c r="D21" s="159" t="s">
        <v>170</v>
      </c>
      <c r="E21" s="147">
        <f>F21+I21</f>
        <v>-1684000</v>
      </c>
      <c r="F21" s="147">
        <v>-1684000</v>
      </c>
      <c r="G21" s="147"/>
      <c r="H21" s="147"/>
      <c r="I21" s="147"/>
      <c r="J21" s="147">
        <f>L21+O21</f>
        <v>4684000</v>
      </c>
      <c r="K21" s="147">
        <f>3000000+1684000</f>
        <v>4684000</v>
      </c>
      <c r="L21" s="147"/>
      <c r="M21" s="147"/>
      <c r="N21" s="147"/>
      <c r="O21" s="147">
        <f>K21</f>
        <v>4684000</v>
      </c>
      <c r="P21" s="143">
        <f>E21+J21</f>
        <v>3000000</v>
      </c>
      <c r="R21" s="145">
        <f t="shared" si="3"/>
        <v>0</v>
      </c>
      <c r="S21" s="73">
        <f t="shared" si="2"/>
        <v>0</v>
      </c>
    </row>
    <row r="22" spans="1:19" s="144" customFormat="1" x14ac:dyDescent="0.25">
      <c r="A22" s="140" t="s">
        <v>171</v>
      </c>
      <c r="B22" s="140" t="s">
        <v>172</v>
      </c>
      <c r="C22" s="141" t="s">
        <v>173</v>
      </c>
      <c r="D22" s="160" t="s">
        <v>174</v>
      </c>
      <c r="E22" s="143">
        <f t="shared" si="4"/>
        <v>-550000</v>
      </c>
      <c r="F22" s="143">
        <v>-550000</v>
      </c>
      <c r="G22" s="143"/>
      <c r="H22" s="143"/>
      <c r="I22" s="143"/>
      <c r="J22" s="143">
        <f>L22+O22</f>
        <v>-100000</v>
      </c>
      <c r="K22" s="143">
        <v>-100000</v>
      </c>
      <c r="L22" s="143"/>
      <c r="M22" s="143"/>
      <c r="N22" s="143"/>
      <c r="O22" s="143">
        <v>-100000</v>
      </c>
      <c r="P22" s="143">
        <f t="shared" si="6"/>
        <v>-650000</v>
      </c>
      <c r="R22" s="145">
        <f t="shared" si="3"/>
        <v>0</v>
      </c>
      <c r="S22" s="73">
        <f t="shared" si="2"/>
        <v>0</v>
      </c>
    </row>
    <row r="23" spans="1:19" s="144" customFormat="1" ht="18.75" hidden="1" customHeight="1" x14ac:dyDescent="0.25">
      <c r="A23" s="140" t="s">
        <v>175</v>
      </c>
      <c r="B23" s="140" t="s">
        <v>176</v>
      </c>
      <c r="C23" s="141" t="s">
        <v>177</v>
      </c>
      <c r="D23" s="142" t="s">
        <v>178</v>
      </c>
      <c r="E23" s="161">
        <f t="shared" si="4"/>
        <v>0</v>
      </c>
      <c r="F23" s="161"/>
      <c r="G23" s="161"/>
      <c r="H23" s="161"/>
      <c r="I23" s="161"/>
      <c r="J23" s="143">
        <f t="shared" ref="J23:J26" si="7">L23+O23</f>
        <v>0</v>
      </c>
      <c r="K23" s="161"/>
      <c r="L23" s="161"/>
      <c r="M23" s="161"/>
      <c r="N23" s="161"/>
      <c r="O23" s="161"/>
      <c r="P23" s="161">
        <f t="shared" si="6"/>
        <v>0</v>
      </c>
      <c r="R23" s="145">
        <f t="shared" si="3"/>
        <v>0</v>
      </c>
      <c r="S23" s="73">
        <f t="shared" si="2"/>
        <v>0</v>
      </c>
    </row>
    <row r="24" spans="1:19" s="144" customFormat="1" ht="36" hidden="1" customHeight="1" x14ac:dyDescent="0.25">
      <c r="A24" s="140" t="s">
        <v>179</v>
      </c>
      <c r="B24" s="140" t="s">
        <v>180</v>
      </c>
      <c r="C24" s="141" t="s">
        <v>181</v>
      </c>
      <c r="D24" s="159" t="s">
        <v>182</v>
      </c>
      <c r="E24" s="161">
        <f t="shared" si="4"/>
        <v>0</v>
      </c>
      <c r="F24" s="161"/>
      <c r="G24" s="161"/>
      <c r="H24" s="161"/>
      <c r="I24" s="161"/>
      <c r="J24" s="143">
        <f t="shared" si="7"/>
        <v>0</v>
      </c>
      <c r="K24" s="161"/>
      <c r="L24" s="161"/>
      <c r="M24" s="161"/>
      <c r="N24" s="161"/>
      <c r="O24" s="161"/>
      <c r="P24" s="161">
        <f t="shared" si="6"/>
        <v>0</v>
      </c>
      <c r="R24" s="145">
        <f t="shared" si="3"/>
        <v>0</v>
      </c>
      <c r="S24" s="73">
        <f t="shared" si="2"/>
        <v>0</v>
      </c>
    </row>
    <row r="25" spans="1:19" s="144" customFormat="1" ht="22.5" hidden="1" customHeight="1" x14ac:dyDescent="0.25">
      <c r="A25" s="140" t="s">
        <v>183</v>
      </c>
      <c r="B25" s="140" t="s">
        <v>184</v>
      </c>
      <c r="C25" s="141" t="s">
        <v>185</v>
      </c>
      <c r="D25" s="159" t="s">
        <v>186</v>
      </c>
      <c r="E25" s="143"/>
      <c r="F25" s="143"/>
      <c r="G25" s="143"/>
      <c r="H25" s="143"/>
      <c r="I25" s="143"/>
      <c r="J25" s="143">
        <f t="shared" si="7"/>
        <v>0</v>
      </c>
      <c r="K25" s="162"/>
      <c r="L25" s="162"/>
      <c r="M25" s="162"/>
      <c r="N25" s="162"/>
      <c r="O25" s="162"/>
      <c r="P25" s="143"/>
      <c r="R25" s="145"/>
      <c r="S25" s="73"/>
    </row>
    <row r="26" spans="1:19" s="139" customFormat="1" ht="22.5" customHeight="1" x14ac:dyDescent="0.25">
      <c r="A26" s="136" t="s">
        <v>187</v>
      </c>
      <c r="B26" s="136" t="s">
        <v>188</v>
      </c>
      <c r="C26" s="137" t="s">
        <v>189</v>
      </c>
      <c r="D26" s="163" t="s">
        <v>190</v>
      </c>
      <c r="E26" s="138">
        <f t="shared" si="4"/>
        <v>0</v>
      </c>
      <c r="F26" s="138"/>
      <c r="G26" s="138"/>
      <c r="H26" s="138"/>
      <c r="I26" s="138"/>
      <c r="J26" s="143">
        <f t="shared" si="7"/>
        <v>-25000</v>
      </c>
      <c r="K26" s="138">
        <v>-25000</v>
      </c>
      <c r="L26" s="138"/>
      <c r="M26" s="138"/>
      <c r="N26" s="138"/>
      <c r="O26" s="138">
        <v>-25000</v>
      </c>
      <c r="P26" s="138">
        <f t="shared" si="6"/>
        <v>-25000</v>
      </c>
      <c r="R26" s="134"/>
      <c r="S26" s="135"/>
    </row>
    <row r="27" spans="1:19" s="139" customFormat="1" ht="22.5" hidden="1" customHeight="1" x14ac:dyDescent="0.25">
      <c r="A27" s="136" t="s">
        <v>191</v>
      </c>
      <c r="B27" s="136" t="s">
        <v>192</v>
      </c>
      <c r="C27" s="137" t="s">
        <v>185</v>
      </c>
      <c r="D27" s="164" t="s">
        <v>193</v>
      </c>
      <c r="E27" s="143">
        <f>F27+I27</f>
        <v>0</v>
      </c>
      <c r="F27" s="143"/>
      <c r="G27" s="143"/>
      <c r="H27" s="143"/>
      <c r="I27" s="143"/>
      <c r="J27" s="143">
        <f>L27+O27</f>
        <v>0</v>
      </c>
      <c r="K27" s="143"/>
      <c r="L27" s="143"/>
      <c r="M27" s="143"/>
      <c r="N27" s="143"/>
      <c r="O27" s="143"/>
      <c r="P27" s="143">
        <f>E27+J27</f>
        <v>0</v>
      </c>
      <c r="R27" s="134"/>
      <c r="S27" s="135"/>
    </row>
    <row r="28" spans="1:19" s="144" customFormat="1" ht="99" hidden="1" customHeight="1" x14ac:dyDescent="0.25">
      <c r="A28" s="140" t="s">
        <v>194</v>
      </c>
      <c r="B28" s="140" t="s">
        <v>195</v>
      </c>
      <c r="C28" s="141" t="s">
        <v>185</v>
      </c>
      <c r="D28" s="160" t="s">
        <v>196</v>
      </c>
      <c r="E28" s="161">
        <f t="shared" si="4"/>
        <v>0</v>
      </c>
      <c r="F28" s="161"/>
      <c r="G28" s="161"/>
      <c r="H28" s="161"/>
      <c r="I28" s="161"/>
      <c r="J28" s="161">
        <f t="shared" si="5"/>
        <v>0</v>
      </c>
      <c r="K28" s="161"/>
      <c r="L28" s="161"/>
      <c r="M28" s="161"/>
      <c r="N28" s="161"/>
      <c r="O28" s="161"/>
      <c r="P28" s="161">
        <f t="shared" si="6"/>
        <v>0</v>
      </c>
      <c r="R28" s="145">
        <f t="shared" si="3"/>
        <v>0</v>
      </c>
      <c r="S28" s="73">
        <f t="shared" si="2"/>
        <v>0</v>
      </c>
    </row>
    <row r="29" spans="1:19" s="139" customFormat="1" ht="27" customHeight="1" x14ac:dyDescent="0.25">
      <c r="A29" s="136" t="s">
        <v>197</v>
      </c>
      <c r="B29" s="136" t="s">
        <v>198</v>
      </c>
      <c r="C29" s="137" t="s">
        <v>185</v>
      </c>
      <c r="D29" s="164" t="s">
        <v>199</v>
      </c>
      <c r="E29" s="138">
        <f t="shared" si="4"/>
        <v>-115000</v>
      </c>
      <c r="F29" s="138">
        <v>-115000</v>
      </c>
      <c r="G29" s="138"/>
      <c r="H29" s="138"/>
      <c r="I29" s="138"/>
      <c r="J29" s="138">
        <f t="shared" si="5"/>
        <v>0</v>
      </c>
      <c r="K29" s="138"/>
      <c r="L29" s="138"/>
      <c r="M29" s="138"/>
      <c r="N29" s="138"/>
      <c r="O29" s="138"/>
      <c r="P29" s="138">
        <f t="shared" si="6"/>
        <v>-115000</v>
      </c>
      <c r="R29" s="134">
        <f t="shared" si="3"/>
        <v>0</v>
      </c>
      <c r="S29" s="135">
        <f t="shared" si="2"/>
        <v>0</v>
      </c>
    </row>
    <row r="30" spans="1:19" s="144" customFormat="1" ht="33.75" hidden="1" customHeight="1" x14ac:dyDescent="0.25">
      <c r="A30" s="140" t="s">
        <v>200</v>
      </c>
      <c r="B30" s="140" t="s">
        <v>201</v>
      </c>
      <c r="C30" s="146" t="s">
        <v>202</v>
      </c>
      <c r="D30" s="156" t="s">
        <v>203</v>
      </c>
      <c r="E30" s="162">
        <f t="shared" si="4"/>
        <v>0</v>
      </c>
      <c r="F30" s="162"/>
      <c r="G30" s="162"/>
      <c r="H30" s="162"/>
      <c r="I30" s="162"/>
      <c r="J30" s="138">
        <f t="shared" si="5"/>
        <v>0</v>
      </c>
      <c r="K30" s="162"/>
      <c r="L30" s="162"/>
      <c r="M30" s="162"/>
      <c r="N30" s="162"/>
      <c r="O30" s="162"/>
      <c r="P30" s="162">
        <f>E30+J30</f>
        <v>0</v>
      </c>
      <c r="R30" s="145">
        <f>K30-O30</f>
        <v>0</v>
      </c>
      <c r="S30" s="73">
        <f>O30-K30</f>
        <v>0</v>
      </c>
    </row>
    <row r="31" spans="1:19" s="144" customFormat="1" ht="33.75" hidden="1" customHeight="1" x14ac:dyDescent="0.25">
      <c r="A31" s="140" t="s">
        <v>204</v>
      </c>
      <c r="B31" s="165">
        <v>8240</v>
      </c>
      <c r="C31" s="146" t="s">
        <v>202</v>
      </c>
      <c r="D31" s="166" t="s">
        <v>205</v>
      </c>
      <c r="E31" s="162">
        <f t="shared" si="4"/>
        <v>0</v>
      </c>
      <c r="F31" s="162"/>
      <c r="G31" s="162"/>
      <c r="H31" s="162"/>
      <c r="I31" s="162"/>
      <c r="J31" s="138">
        <f t="shared" si="5"/>
        <v>0</v>
      </c>
      <c r="K31" s="162"/>
      <c r="L31" s="162"/>
      <c r="M31" s="162"/>
      <c r="N31" s="162"/>
      <c r="O31" s="162"/>
      <c r="P31" s="162">
        <f>E31+J31</f>
        <v>0</v>
      </c>
      <c r="R31" s="145"/>
      <c r="S31" s="73"/>
    </row>
    <row r="32" spans="1:19" s="144" customFormat="1" ht="39" hidden="1" customHeight="1" x14ac:dyDescent="0.25">
      <c r="A32" s="140" t="s">
        <v>206</v>
      </c>
      <c r="B32" s="140" t="s">
        <v>207</v>
      </c>
      <c r="C32" s="146" t="s">
        <v>151</v>
      </c>
      <c r="D32" s="156" t="s">
        <v>208</v>
      </c>
      <c r="E32" s="162">
        <f t="shared" si="4"/>
        <v>0</v>
      </c>
      <c r="F32" s="162"/>
      <c r="G32" s="162"/>
      <c r="H32" s="162"/>
      <c r="I32" s="162"/>
      <c r="J32" s="162">
        <f>L32+O32</f>
        <v>0</v>
      </c>
      <c r="K32" s="162"/>
      <c r="L32" s="162"/>
      <c r="M32" s="162"/>
      <c r="N32" s="162"/>
      <c r="O32" s="162"/>
      <c r="P32" s="162">
        <f>E32+J32</f>
        <v>0</v>
      </c>
      <c r="R32" s="145" t="e">
        <f>#REF!-#REF!</f>
        <v>#REF!</v>
      </c>
      <c r="S32" s="75"/>
    </row>
    <row r="33" spans="1:19" s="124" customFormat="1" ht="49.5" customHeight="1" x14ac:dyDescent="0.25">
      <c r="A33" s="129" t="s">
        <v>209</v>
      </c>
      <c r="B33" s="129" t="s">
        <v>210</v>
      </c>
      <c r="C33" s="167"/>
      <c r="D33" s="131" t="s">
        <v>211</v>
      </c>
      <c r="E33" s="132">
        <f t="shared" si="4"/>
        <v>-1028676.9999000001</v>
      </c>
      <c r="F33" s="132">
        <f t="shared" ref="F33:O33" si="8">F34</f>
        <v>-1028676.9999000001</v>
      </c>
      <c r="G33" s="132">
        <f>G34</f>
        <v>163440</v>
      </c>
      <c r="H33" s="132">
        <f t="shared" si="8"/>
        <v>251323</v>
      </c>
      <c r="I33" s="132">
        <f t="shared" si="8"/>
        <v>0</v>
      </c>
      <c r="J33" s="132">
        <f t="shared" si="8"/>
        <v>2948677</v>
      </c>
      <c r="K33" s="132">
        <f t="shared" si="8"/>
        <v>2948677</v>
      </c>
      <c r="L33" s="132">
        <f t="shared" si="8"/>
        <v>0</v>
      </c>
      <c r="M33" s="132">
        <f t="shared" si="8"/>
        <v>0</v>
      </c>
      <c r="N33" s="132">
        <f t="shared" si="8"/>
        <v>0</v>
      </c>
      <c r="O33" s="132">
        <f t="shared" si="8"/>
        <v>2948677</v>
      </c>
      <c r="P33" s="132">
        <f>E33+J33+0.00001</f>
        <v>1920000.0001099999</v>
      </c>
      <c r="Q33" s="411">
        <f>'dod 2'!P35+'dod 4 '!P34+'dod 5'!P33</f>
        <v>16465218.00011</v>
      </c>
      <c r="R33" s="134">
        <f>K33-O33</f>
        <v>0</v>
      </c>
      <c r="S33" s="135">
        <f t="shared" si="2"/>
        <v>0</v>
      </c>
    </row>
    <row r="34" spans="1:19" s="124" customFormat="1" ht="53.25" customHeight="1" x14ac:dyDescent="0.25">
      <c r="A34" s="129" t="s">
        <v>212</v>
      </c>
      <c r="B34" s="129"/>
      <c r="C34" s="167"/>
      <c r="D34" s="131" t="s">
        <v>213</v>
      </c>
      <c r="E34" s="132">
        <f t="shared" si="4"/>
        <v>-1028676.9999000001</v>
      </c>
      <c r="F34" s="132">
        <f>SUM(F35:F69)-F38-F40-F55-F54-F44-F42+0.0001</f>
        <v>-1028676.9999000001</v>
      </c>
      <c r="G34" s="132">
        <f>SUM(G35:G69)-G38-G40-G58-G42-G44</f>
        <v>163440</v>
      </c>
      <c r="H34" s="132">
        <f>SUM(H35:H69)-H38-H40</f>
        <v>251323</v>
      </c>
      <c r="I34" s="132">
        <f>SUM(I35:I69)-I38-I40</f>
        <v>0</v>
      </c>
      <c r="J34" s="132">
        <f>L34+O34</f>
        <v>2948677</v>
      </c>
      <c r="K34" s="132">
        <f>SUM(K35:K69)-K38-K40-K44-K42</f>
        <v>2948677</v>
      </c>
      <c r="L34" s="132">
        <f>SUM(L35:L69)-L38-L40-L44</f>
        <v>0</v>
      </c>
      <c r="M34" s="132">
        <f>SUM(M35:M69)-M38-M40-M44</f>
        <v>0</v>
      </c>
      <c r="N34" s="132">
        <f>SUM(N35:N69)-N38-N40-N44</f>
        <v>0</v>
      </c>
      <c r="O34" s="132">
        <f>SUM(O35:O69)-O38-O40-O44-O42-O43</f>
        <v>2948677</v>
      </c>
      <c r="P34" s="132">
        <f>E34+J34+0.000001</f>
        <v>1920000.0001009998</v>
      </c>
      <c r="R34" s="134">
        <f t="shared" si="3"/>
        <v>0</v>
      </c>
      <c r="S34" s="135">
        <f t="shared" si="2"/>
        <v>0</v>
      </c>
    </row>
    <row r="35" spans="1:19" s="124" customFormat="1" ht="53.25" hidden="1" customHeight="1" x14ac:dyDescent="0.25">
      <c r="A35" s="136" t="s">
        <v>214</v>
      </c>
      <c r="B35" s="136" t="s">
        <v>147</v>
      </c>
      <c r="C35" s="137" t="s">
        <v>148</v>
      </c>
      <c r="D35" s="32" t="s">
        <v>215</v>
      </c>
      <c r="E35" s="169">
        <f t="shared" si="4"/>
        <v>0</v>
      </c>
      <c r="F35" s="138"/>
      <c r="G35" s="138"/>
      <c r="H35" s="138"/>
      <c r="I35" s="132"/>
      <c r="J35" s="138">
        <f>L35+O35</f>
        <v>0</v>
      </c>
      <c r="K35" s="132"/>
      <c r="L35" s="132"/>
      <c r="M35" s="132"/>
      <c r="N35" s="132"/>
      <c r="O35" s="132"/>
      <c r="P35" s="138">
        <f t="shared" si="6"/>
        <v>0</v>
      </c>
      <c r="R35" s="134">
        <f t="shared" si="3"/>
        <v>0</v>
      </c>
      <c r="S35" s="135">
        <f t="shared" si="2"/>
        <v>0</v>
      </c>
    </row>
    <row r="36" spans="1:19" ht="28.5" customHeight="1" x14ac:dyDescent="0.25">
      <c r="A36" s="136" t="s">
        <v>216</v>
      </c>
      <c r="B36" s="136" t="s">
        <v>217</v>
      </c>
      <c r="C36" s="137" t="s">
        <v>218</v>
      </c>
      <c r="D36" s="170" t="s">
        <v>219</v>
      </c>
      <c r="E36" s="169">
        <f t="shared" si="4"/>
        <v>-701137</v>
      </c>
      <c r="F36" s="169">
        <f>(-490000-828000-190000+251323-1500000-330000)+2385540</f>
        <v>-701137</v>
      </c>
      <c r="G36" s="169">
        <v>-1500000</v>
      </c>
      <c r="H36" s="169">
        <f>437460-77990-108147+2385540</f>
        <v>2636863</v>
      </c>
      <c r="I36" s="169"/>
      <c r="J36" s="138">
        <f t="shared" ref="J36:J51" si="9">L36+O36</f>
        <v>-251323</v>
      </c>
      <c r="K36" s="138">
        <v>-251323</v>
      </c>
      <c r="L36" s="169"/>
      <c r="M36" s="169"/>
      <c r="N36" s="169"/>
      <c r="O36" s="138">
        <v>-251323</v>
      </c>
      <c r="P36" s="138">
        <f t="shared" si="6"/>
        <v>-952460</v>
      </c>
      <c r="R36" s="134">
        <f t="shared" si="3"/>
        <v>0</v>
      </c>
      <c r="S36" s="135">
        <f t="shared" si="2"/>
        <v>0</v>
      </c>
    </row>
    <row r="37" spans="1:19" s="7" customFormat="1" ht="70.5" customHeight="1" x14ac:dyDescent="0.25">
      <c r="A37" s="140" t="s">
        <v>220</v>
      </c>
      <c r="B37" s="140" t="s">
        <v>221</v>
      </c>
      <c r="C37" s="141" t="s">
        <v>222</v>
      </c>
      <c r="D37" s="171" t="s">
        <v>223</v>
      </c>
      <c r="E37" s="147">
        <f t="shared" si="4"/>
        <v>1163969</v>
      </c>
      <c r="F37" s="147">
        <f>-492000-200000+3247865+493644+500000-2385540</f>
        <v>1163969</v>
      </c>
      <c r="G37" s="147">
        <v>3247865</v>
      </c>
      <c r="H37" s="147">
        <v>-2385540</v>
      </c>
      <c r="I37" s="147"/>
      <c r="J37" s="143">
        <f t="shared" si="9"/>
        <v>3300000</v>
      </c>
      <c r="K37" s="147">
        <v>3300000</v>
      </c>
      <c r="L37" s="147"/>
      <c r="M37" s="147"/>
      <c r="N37" s="147"/>
      <c r="O37" s="147">
        <v>3300000</v>
      </c>
      <c r="P37" s="143">
        <f t="shared" si="6"/>
        <v>4463969</v>
      </c>
      <c r="Q37" s="75" t="e">
        <f>P37+#REF!+#REF!</f>
        <v>#REF!</v>
      </c>
      <c r="R37" s="145">
        <f t="shared" si="3"/>
        <v>0</v>
      </c>
      <c r="S37" s="75"/>
    </row>
    <row r="38" spans="1:19" s="7" customFormat="1" ht="62.25" hidden="1" customHeight="1" x14ac:dyDescent="0.25">
      <c r="A38" s="140"/>
      <c r="B38" s="140"/>
      <c r="C38" s="141"/>
      <c r="D38" s="173" t="s">
        <v>158</v>
      </c>
      <c r="E38" s="174">
        <f t="shared" si="4"/>
        <v>0</v>
      </c>
      <c r="F38" s="151"/>
      <c r="G38" s="174"/>
      <c r="H38" s="174"/>
      <c r="I38" s="174"/>
      <c r="J38" s="174"/>
      <c r="K38" s="174"/>
      <c r="L38" s="174"/>
      <c r="M38" s="174"/>
      <c r="N38" s="174"/>
      <c r="O38" s="174"/>
      <c r="P38" s="161">
        <f t="shared" si="6"/>
        <v>0</v>
      </c>
      <c r="R38" s="145">
        <f t="shared" si="3"/>
        <v>0</v>
      </c>
      <c r="S38" s="75"/>
    </row>
    <row r="39" spans="1:19" s="7" customFormat="1" ht="33.75" hidden="1" customHeight="1" x14ac:dyDescent="0.25">
      <c r="A39" s="140" t="s">
        <v>224</v>
      </c>
      <c r="B39" s="140" t="s">
        <v>225</v>
      </c>
      <c r="C39" s="141" t="s">
        <v>222</v>
      </c>
      <c r="D39" s="160" t="s">
        <v>226</v>
      </c>
      <c r="E39" s="174">
        <f t="shared" si="4"/>
        <v>0</v>
      </c>
      <c r="F39" s="174"/>
      <c r="G39" s="174"/>
      <c r="H39" s="174"/>
      <c r="I39" s="174"/>
      <c r="J39" s="161">
        <f t="shared" si="9"/>
        <v>0</v>
      </c>
      <c r="K39" s="161"/>
      <c r="L39" s="174"/>
      <c r="M39" s="174"/>
      <c r="N39" s="174"/>
      <c r="O39" s="161"/>
      <c r="P39" s="161">
        <f t="shared" si="6"/>
        <v>0</v>
      </c>
      <c r="R39" s="145">
        <f t="shared" si="3"/>
        <v>0</v>
      </c>
      <c r="S39" s="75">
        <f t="shared" si="2"/>
        <v>0</v>
      </c>
    </row>
    <row r="40" spans="1:19" s="177" customFormat="1" ht="67.5" hidden="1" customHeight="1" x14ac:dyDescent="0.25">
      <c r="A40" s="148"/>
      <c r="B40" s="148"/>
      <c r="C40" s="175"/>
      <c r="D40" s="176" t="s">
        <v>227</v>
      </c>
      <c r="E40" s="174">
        <f t="shared" si="4"/>
        <v>0</v>
      </c>
      <c r="F40" s="151"/>
      <c r="G40" s="151"/>
      <c r="H40" s="151"/>
      <c r="I40" s="151"/>
      <c r="J40" s="161">
        <f t="shared" si="9"/>
        <v>0</v>
      </c>
      <c r="K40" s="152"/>
      <c r="L40" s="151"/>
      <c r="M40" s="151"/>
      <c r="N40" s="151"/>
      <c r="O40" s="152"/>
      <c r="P40" s="161">
        <f t="shared" si="6"/>
        <v>0</v>
      </c>
      <c r="R40" s="145">
        <f t="shared" si="3"/>
        <v>0</v>
      </c>
      <c r="S40" s="75">
        <f t="shared" si="2"/>
        <v>0</v>
      </c>
    </row>
    <row r="41" spans="1:19" s="177" customFormat="1" ht="31.5" hidden="1" customHeight="1" x14ac:dyDescent="0.25">
      <c r="A41" s="140" t="s">
        <v>228</v>
      </c>
      <c r="B41" s="140" t="s">
        <v>229</v>
      </c>
      <c r="C41" s="141" t="s">
        <v>222</v>
      </c>
      <c r="D41" s="142" t="s">
        <v>226</v>
      </c>
      <c r="E41" s="147">
        <f t="shared" si="4"/>
        <v>0</v>
      </c>
      <c r="F41" s="147"/>
      <c r="G41" s="147"/>
      <c r="H41" s="147"/>
      <c r="I41" s="147"/>
      <c r="J41" s="143">
        <f t="shared" si="9"/>
        <v>0</v>
      </c>
      <c r="K41" s="143"/>
      <c r="L41" s="147"/>
      <c r="M41" s="147"/>
      <c r="N41" s="147"/>
      <c r="O41" s="143"/>
      <c r="P41" s="143">
        <f>E41+J41</f>
        <v>0</v>
      </c>
      <c r="R41" s="145"/>
      <c r="S41" s="75"/>
    </row>
    <row r="42" spans="1:19" s="177" customFormat="1" ht="15.75" hidden="1" customHeight="1" x14ac:dyDescent="0.25">
      <c r="A42" s="148"/>
      <c r="B42" s="148"/>
      <c r="C42" s="175"/>
      <c r="D42" s="150" t="s">
        <v>230</v>
      </c>
      <c r="E42" s="174">
        <f t="shared" si="4"/>
        <v>0</v>
      </c>
      <c r="F42" s="151"/>
      <c r="G42" s="151"/>
      <c r="H42" s="151"/>
      <c r="I42" s="151"/>
      <c r="J42" s="161">
        <f t="shared" si="9"/>
        <v>0</v>
      </c>
      <c r="K42" s="152"/>
      <c r="L42" s="151"/>
      <c r="M42" s="151"/>
      <c r="N42" s="151"/>
      <c r="O42" s="152"/>
      <c r="P42" s="161">
        <f>E42+J42</f>
        <v>0</v>
      </c>
      <c r="R42" s="145"/>
      <c r="S42" s="75"/>
    </row>
    <row r="43" spans="1:19" s="177" customFormat="1" ht="15.75" hidden="1" customHeight="1" x14ac:dyDescent="0.25">
      <c r="A43" s="148"/>
      <c r="B43" s="148"/>
      <c r="C43" s="175"/>
      <c r="D43" s="150" t="s">
        <v>231</v>
      </c>
      <c r="E43" s="174">
        <f t="shared" si="4"/>
        <v>0</v>
      </c>
      <c r="F43" s="151"/>
      <c r="G43" s="151"/>
      <c r="H43" s="151"/>
      <c r="I43" s="151"/>
      <c r="J43" s="161">
        <f t="shared" si="9"/>
        <v>0</v>
      </c>
      <c r="K43" s="152"/>
      <c r="L43" s="151"/>
      <c r="M43" s="151"/>
      <c r="N43" s="151"/>
      <c r="O43" s="152"/>
      <c r="P43" s="161">
        <f t="shared" si="6"/>
        <v>0</v>
      </c>
      <c r="R43" s="145"/>
      <c r="S43" s="75"/>
    </row>
    <row r="44" spans="1:19" s="177" customFormat="1" ht="15.75" hidden="1" customHeight="1" x14ac:dyDescent="0.25">
      <c r="A44" s="148"/>
      <c r="B44" s="148"/>
      <c r="C44" s="175"/>
      <c r="D44" s="150" t="s">
        <v>232</v>
      </c>
      <c r="E44" s="178">
        <f t="shared" si="4"/>
        <v>0</v>
      </c>
      <c r="F44" s="178"/>
      <c r="G44" s="178"/>
      <c r="H44" s="178"/>
      <c r="I44" s="178"/>
      <c r="J44" s="179">
        <f t="shared" si="9"/>
        <v>0</v>
      </c>
      <c r="K44" s="179"/>
      <c r="L44" s="178"/>
      <c r="M44" s="178"/>
      <c r="N44" s="178"/>
      <c r="O44" s="179"/>
      <c r="P44" s="179">
        <f>E44+J44</f>
        <v>0</v>
      </c>
      <c r="R44" s="180"/>
      <c r="S44" s="181"/>
    </row>
    <row r="45" spans="1:19" s="7" customFormat="1" ht="59.25" hidden="1" customHeight="1" x14ac:dyDescent="0.25">
      <c r="A45" s="140" t="s">
        <v>233</v>
      </c>
      <c r="B45" s="140" t="s">
        <v>234</v>
      </c>
      <c r="C45" s="141" t="s">
        <v>235</v>
      </c>
      <c r="D45" s="142" t="s">
        <v>236</v>
      </c>
      <c r="E45" s="147">
        <f t="shared" si="4"/>
        <v>0</v>
      </c>
      <c r="F45" s="147"/>
      <c r="G45" s="147"/>
      <c r="H45" s="147"/>
      <c r="I45" s="147"/>
      <c r="J45" s="143">
        <f t="shared" si="9"/>
        <v>0</v>
      </c>
      <c r="K45" s="143"/>
      <c r="L45" s="147"/>
      <c r="M45" s="147"/>
      <c r="N45" s="147"/>
      <c r="O45" s="143"/>
      <c r="P45" s="143">
        <f t="shared" si="6"/>
        <v>0</v>
      </c>
      <c r="R45" s="145">
        <f t="shared" si="3"/>
        <v>0</v>
      </c>
      <c r="S45" s="75">
        <f t="shared" si="2"/>
        <v>0</v>
      </c>
    </row>
    <row r="46" spans="1:19" ht="29.25" hidden="1" customHeight="1" x14ac:dyDescent="0.25">
      <c r="A46" s="136" t="s">
        <v>237</v>
      </c>
      <c r="B46" s="136" t="s">
        <v>238</v>
      </c>
      <c r="C46" s="137" t="s">
        <v>235</v>
      </c>
      <c r="D46" s="182" t="s">
        <v>239</v>
      </c>
      <c r="E46" s="169">
        <f t="shared" si="4"/>
        <v>0</v>
      </c>
      <c r="F46" s="169"/>
      <c r="G46" s="169"/>
      <c r="H46" s="169"/>
      <c r="I46" s="169"/>
      <c r="J46" s="138">
        <f>L46+O46</f>
        <v>0</v>
      </c>
      <c r="K46" s="138"/>
      <c r="L46" s="169"/>
      <c r="M46" s="169"/>
      <c r="N46" s="169"/>
      <c r="O46" s="138"/>
      <c r="P46" s="138">
        <f t="shared" si="6"/>
        <v>0</v>
      </c>
      <c r="R46" s="134">
        <f>K46-O46</f>
        <v>0</v>
      </c>
      <c r="S46" s="135">
        <f>O46-K46</f>
        <v>0</v>
      </c>
    </row>
    <row r="47" spans="1:19" s="7" customFormat="1" ht="29.25" hidden="1" customHeight="1" x14ac:dyDescent="0.25">
      <c r="A47" s="140" t="s">
        <v>240</v>
      </c>
      <c r="B47" s="140" t="s">
        <v>241</v>
      </c>
      <c r="C47" s="141" t="s">
        <v>242</v>
      </c>
      <c r="D47" s="142" t="s">
        <v>243</v>
      </c>
      <c r="E47" s="174">
        <f t="shared" si="4"/>
        <v>0</v>
      </c>
      <c r="F47" s="174"/>
      <c r="G47" s="174"/>
      <c r="H47" s="174"/>
      <c r="I47" s="174"/>
      <c r="J47" s="161">
        <f t="shared" si="9"/>
        <v>0</v>
      </c>
      <c r="K47" s="161"/>
      <c r="L47" s="161"/>
      <c r="M47" s="161"/>
      <c r="N47" s="161"/>
      <c r="O47" s="161"/>
      <c r="P47" s="161">
        <f t="shared" si="6"/>
        <v>0</v>
      </c>
      <c r="R47" s="145">
        <f t="shared" si="3"/>
        <v>0</v>
      </c>
      <c r="S47" s="75">
        <f t="shared" si="2"/>
        <v>0</v>
      </c>
    </row>
    <row r="48" spans="1:19" ht="21" customHeight="1" x14ac:dyDescent="0.25">
      <c r="A48" s="136" t="s">
        <v>244</v>
      </c>
      <c r="B48" s="136" t="s">
        <v>245</v>
      </c>
      <c r="C48" s="137" t="s">
        <v>242</v>
      </c>
      <c r="D48" s="183" t="s">
        <v>246</v>
      </c>
      <c r="E48" s="169">
        <f t="shared" si="4"/>
        <v>97600</v>
      </c>
      <c r="F48" s="147">
        <f>80000+17600</f>
        <v>97600</v>
      </c>
      <c r="G48" s="147">
        <v>80000</v>
      </c>
      <c r="H48" s="169"/>
      <c r="I48" s="169"/>
      <c r="J48" s="138">
        <f t="shared" si="9"/>
        <v>0</v>
      </c>
      <c r="K48" s="138"/>
      <c r="L48" s="138"/>
      <c r="M48" s="138"/>
      <c r="N48" s="138"/>
      <c r="O48" s="138"/>
      <c r="P48" s="169">
        <f t="shared" si="6"/>
        <v>97600</v>
      </c>
      <c r="R48" s="134">
        <f t="shared" si="3"/>
        <v>0</v>
      </c>
      <c r="S48" s="135">
        <f t="shared" si="2"/>
        <v>0</v>
      </c>
    </row>
    <row r="49" spans="1:19" s="7" customFormat="1" ht="24" customHeight="1" x14ac:dyDescent="0.25">
      <c r="A49" s="140" t="s">
        <v>247</v>
      </c>
      <c r="B49" s="140" t="s">
        <v>248</v>
      </c>
      <c r="C49" s="141" t="s">
        <v>242</v>
      </c>
      <c r="D49" s="142" t="s">
        <v>249</v>
      </c>
      <c r="E49" s="147">
        <f t="shared" si="4"/>
        <v>420000</v>
      </c>
      <c r="F49" s="147">
        <v>420000</v>
      </c>
      <c r="G49" s="147"/>
      <c r="H49" s="147"/>
      <c r="I49" s="147"/>
      <c r="J49" s="143">
        <f t="shared" si="9"/>
        <v>0</v>
      </c>
      <c r="K49" s="147"/>
      <c r="L49" s="147"/>
      <c r="M49" s="147"/>
      <c r="N49" s="147"/>
      <c r="O49" s="147"/>
      <c r="P49" s="147">
        <f t="shared" si="6"/>
        <v>420000</v>
      </c>
      <c r="R49" s="145">
        <f t="shared" si="3"/>
        <v>0</v>
      </c>
      <c r="S49" s="75">
        <f t="shared" si="2"/>
        <v>0</v>
      </c>
    </row>
    <row r="50" spans="1:19" s="7" customFormat="1" ht="51.75" hidden="1" customHeight="1" x14ac:dyDescent="0.25">
      <c r="A50" s="140" t="s">
        <v>250</v>
      </c>
      <c r="B50" s="140" t="s">
        <v>251</v>
      </c>
      <c r="C50" s="141" t="s">
        <v>242</v>
      </c>
      <c r="D50" s="184" t="s">
        <v>252</v>
      </c>
      <c r="E50" s="147">
        <f t="shared" si="4"/>
        <v>0</v>
      </c>
      <c r="F50" s="147"/>
      <c r="G50" s="147"/>
      <c r="H50" s="147"/>
      <c r="I50" s="147"/>
      <c r="J50" s="143">
        <f t="shared" si="9"/>
        <v>0</v>
      </c>
      <c r="K50" s="147"/>
      <c r="L50" s="147"/>
      <c r="M50" s="147"/>
      <c r="N50" s="147"/>
      <c r="O50" s="147"/>
      <c r="P50" s="147">
        <f t="shared" si="6"/>
        <v>0</v>
      </c>
      <c r="R50" s="145">
        <f t="shared" si="3"/>
        <v>0</v>
      </c>
      <c r="S50" s="75"/>
    </row>
    <row r="51" spans="1:19" s="7" customFormat="1" ht="42" hidden="1" customHeight="1" x14ac:dyDescent="0.25">
      <c r="A51" s="140" t="s">
        <v>253</v>
      </c>
      <c r="B51" s="140" t="s">
        <v>254</v>
      </c>
      <c r="C51" s="141" t="s">
        <v>242</v>
      </c>
      <c r="D51" s="154" t="s">
        <v>255</v>
      </c>
      <c r="E51" s="174">
        <f t="shared" si="4"/>
        <v>0</v>
      </c>
      <c r="F51" s="174"/>
      <c r="G51" s="174"/>
      <c r="H51" s="174"/>
      <c r="I51" s="174"/>
      <c r="J51" s="161">
        <f t="shared" si="9"/>
        <v>0</v>
      </c>
      <c r="K51" s="174"/>
      <c r="L51" s="174"/>
      <c r="M51" s="174"/>
      <c r="N51" s="174"/>
      <c r="O51" s="174"/>
      <c r="P51" s="174">
        <f t="shared" si="6"/>
        <v>0</v>
      </c>
      <c r="R51" s="145">
        <f t="shared" si="3"/>
        <v>0</v>
      </c>
      <c r="S51" s="75">
        <f t="shared" si="2"/>
        <v>0</v>
      </c>
    </row>
    <row r="52" spans="1:19" s="7" customFormat="1" ht="42" hidden="1" customHeight="1" x14ac:dyDescent="0.25">
      <c r="A52" s="140" t="s">
        <v>256</v>
      </c>
      <c r="B52" s="140" t="s">
        <v>257</v>
      </c>
      <c r="C52" s="141" t="s">
        <v>242</v>
      </c>
      <c r="D52" s="154" t="s">
        <v>258</v>
      </c>
      <c r="E52" s="147">
        <f t="shared" si="4"/>
        <v>0</v>
      </c>
      <c r="F52" s="147"/>
      <c r="G52" s="147"/>
      <c r="H52" s="147"/>
      <c r="I52" s="147"/>
      <c r="J52" s="143">
        <f>L52+O52</f>
        <v>0</v>
      </c>
      <c r="K52" s="147"/>
      <c r="L52" s="147"/>
      <c r="M52" s="147"/>
      <c r="N52" s="147"/>
      <c r="O52" s="147"/>
      <c r="P52" s="147">
        <f t="shared" si="6"/>
        <v>0</v>
      </c>
      <c r="R52" s="145"/>
      <c r="S52" s="75"/>
    </row>
    <row r="53" spans="1:19" s="7" customFormat="1" ht="63" hidden="1" customHeight="1" x14ac:dyDescent="0.25">
      <c r="A53" s="140" t="s">
        <v>259</v>
      </c>
      <c r="B53" s="140" t="s">
        <v>260</v>
      </c>
      <c r="C53" s="141" t="s">
        <v>242</v>
      </c>
      <c r="D53" s="154" t="s">
        <v>261</v>
      </c>
      <c r="E53" s="147">
        <f>E54+E55+E56</f>
        <v>0</v>
      </c>
      <c r="F53" s="147"/>
      <c r="G53" s="147"/>
      <c r="H53" s="147"/>
      <c r="I53" s="147"/>
      <c r="J53" s="143"/>
      <c r="K53" s="147"/>
      <c r="L53" s="147"/>
      <c r="M53" s="147"/>
      <c r="N53" s="147"/>
      <c r="O53" s="147"/>
      <c r="P53" s="147">
        <f t="shared" si="6"/>
        <v>0</v>
      </c>
      <c r="R53" s="145"/>
      <c r="S53" s="75"/>
    </row>
    <row r="54" spans="1:19" s="7" customFormat="1" ht="47.25" hidden="1" customHeight="1" x14ac:dyDescent="0.25">
      <c r="A54" s="140"/>
      <c r="B54" s="140"/>
      <c r="C54" s="141"/>
      <c r="D54" s="176" t="s">
        <v>262</v>
      </c>
      <c r="E54" s="178">
        <f>F54</f>
        <v>0</v>
      </c>
      <c r="F54" s="178"/>
      <c r="G54" s="178"/>
      <c r="H54" s="178"/>
      <c r="I54" s="178"/>
      <c r="J54" s="179"/>
      <c r="K54" s="178"/>
      <c r="L54" s="178"/>
      <c r="M54" s="178"/>
      <c r="N54" s="178"/>
      <c r="O54" s="178"/>
      <c r="P54" s="178">
        <f t="shared" si="6"/>
        <v>0</v>
      </c>
      <c r="R54" s="145"/>
      <c r="S54" s="75"/>
    </row>
    <row r="55" spans="1:19" s="7" customFormat="1" ht="42" hidden="1" customHeight="1" x14ac:dyDescent="0.25">
      <c r="A55" s="140"/>
      <c r="B55" s="140"/>
      <c r="C55" s="141"/>
      <c r="D55" s="176" t="s">
        <v>263</v>
      </c>
      <c r="E55" s="178">
        <f>F55</f>
        <v>0</v>
      </c>
      <c r="F55" s="178"/>
      <c r="G55" s="178"/>
      <c r="H55" s="178"/>
      <c r="I55" s="178"/>
      <c r="J55" s="179"/>
      <c r="K55" s="178"/>
      <c r="L55" s="178"/>
      <c r="M55" s="178"/>
      <c r="N55" s="178"/>
      <c r="O55" s="178"/>
      <c r="P55" s="178">
        <f t="shared" si="6"/>
        <v>0</v>
      </c>
      <c r="R55" s="145"/>
      <c r="S55" s="75"/>
    </row>
    <row r="56" spans="1:19" s="7" customFormat="1" ht="42" hidden="1" customHeight="1" x14ac:dyDescent="0.25">
      <c r="A56" s="140"/>
      <c r="B56" s="140"/>
      <c r="C56" s="141"/>
      <c r="D56" s="176" t="s">
        <v>264</v>
      </c>
      <c r="E56" s="178">
        <f>F56</f>
        <v>0</v>
      </c>
      <c r="F56" s="178"/>
      <c r="G56" s="178"/>
      <c r="H56" s="178"/>
      <c r="I56" s="178"/>
      <c r="J56" s="179"/>
      <c r="K56" s="178"/>
      <c r="L56" s="178"/>
      <c r="M56" s="178"/>
      <c r="N56" s="178"/>
      <c r="O56" s="178"/>
      <c r="P56" s="178">
        <f t="shared" si="6"/>
        <v>0</v>
      </c>
      <c r="R56" s="145"/>
      <c r="S56" s="75"/>
    </row>
    <row r="57" spans="1:19" s="7" customFormat="1" ht="63" hidden="1" customHeight="1" x14ac:dyDescent="0.25">
      <c r="A57" s="140" t="s">
        <v>265</v>
      </c>
      <c r="B57" s="140" t="s">
        <v>266</v>
      </c>
      <c r="C57" s="141" t="s">
        <v>242</v>
      </c>
      <c r="D57" s="154" t="s">
        <v>267</v>
      </c>
      <c r="E57" s="147">
        <f>F57</f>
        <v>0</v>
      </c>
      <c r="F57" s="147">
        <f>F58</f>
        <v>0</v>
      </c>
      <c r="G57" s="147">
        <f t="shared" ref="G57:O57" si="10">G58</f>
        <v>0</v>
      </c>
      <c r="H57" s="147">
        <f t="shared" si="10"/>
        <v>0</v>
      </c>
      <c r="I57" s="147">
        <f t="shared" si="10"/>
        <v>0</v>
      </c>
      <c r="J57" s="147">
        <f t="shared" si="10"/>
        <v>0</v>
      </c>
      <c r="K57" s="147">
        <f t="shared" si="10"/>
        <v>0</v>
      </c>
      <c r="L57" s="147">
        <f t="shared" si="10"/>
        <v>0</v>
      </c>
      <c r="M57" s="147">
        <f t="shared" si="10"/>
        <v>0</v>
      </c>
      <c r="N57" s="147">
        <f t="shared" si="10"/>
        <v>0</v>
      </c>
      <c r="O57" s="147">
        <f t="shared" si="10"/>
        <v>0</v>
      </c>
      <c r="P57" s="147">
        <f t="shared" si="6"/>
        <v>0</v>
      </c>
      <c r="R57" s="145"/>
      <c r="S57" s="75"/>
    </row>
    <row r="58" spans="1:19" s="7" customFormat="1" ht="24" hidden="1" customHeight="1" x14ac:dyDescent="0.25">
      <c r="A58" s="140"/>
      <c r="B58" s="140"/>
      <c r="C58" s="141"/>
      <c r="D58" s="176" t="s">
        <v>268</v>
      </c>
      <c r="E58" s="178">
        <f>F58</f>
        <v>0</v>
      </c>
      <c r="F58" s="178"/>
      <c r="G58" s="178"/>
      <c r="H58" s="178"/>
      <c r="I58" s="178"/>
      <c r="J58" s="179"/>
      <c r="K58" s="178"/>
      <c r="L58" s="178"/>
      <c r="M58" s="178"/>
      <c r="N58" s="178"/>
      <c r="O58" s="178"/>
      <c r="P58" s="178">
        <f t="shared" si="6"/>
        <v>0</v>
      </c>
      <c r="R58" s="145"/>
      <c r="S58" s="75"/>
    </row>
    <row r="59" spans="1:19" s="7" customFormat="1" ht="62.25" hidden="1" customHeight="1" x14ac:dyDescent="0.25">
      <c r="A59" s="140" t="s">
        <v>269</v>
      </c>
      <c r="B59" s="140" t="s">
        <v>270</v>
      </c>
      <c r="C59" s="141" t="s">
        <v>242</v>
      </c>
      <c r="D59" s="142" t="s">
        <v>271</v>
      </c>
      <c r="E59" s="174">
        <f>F59+I59</f>
        <v>0</v>
      </c>
      <c r="F59" s="174"/>
      <c r="G59" s="174"/>
      <c r="H59" s="174"/>
      <c r="I59" s="174"/>
      <c r="J59" s="161">
        <f>L59+O59</f>
        <v>0</v>
      </c>
      <c r="K59" s="161"/>
      <c r="L59" s="161"/>
      <c r="M59" s="161"/>
      <c r="N59" s="161"/>
      <c r="O59" s="161"/>
      <c r="P59" s="161">
        <f t="shared" si="6"/>
        <v>0</v>
      </c>
      <c r="R59" s="145">
        <f t="shared" si="3"/>
        <v>0</v>
      </c>
      <c r="S59" s="75"/>
    </row>
    <row r="60" spans="1:19" s="144" customFormat="1" ht="39" hidden="1" customHeight="1" x14ac:dyDescent="0.25">
      <c r="A60" s="140" t="s">
        <v>272</v>
      </c>
      <c r="B60" s="140" t="s">
        <v>273</v>
      </c>
      <c r="C60" s="141" t="s">
        <v>173</v>
      </c>
      <c r="D60" s="142" t="s">
        <v>274</v>
      </c>
      <c r="E60" s="147">
        <f>F60+I60</f>
        <v>0</v>
      </c>
      <c r="F60" s="147"/>
      <c r="G60" s="147"/>
      <c r="H60" s="147"/>
      <c r="I60" s="147"/>
      <c r="J60" s="147"/>
      <c r="K60" s="143"/>
      <c r="L60" s="143"/>
      <c r="M60" s="143"/>
      <c r="N60" s="143"/>
      <c r="O60" s="143"/>
      <c r="P60" s="143">
        <f t="shared" si="6"/>
        <v>0</v>
      </c>
      <c r="R60" s="145">
        <f t="shared" si="3"/>
        <v>0</v>
      </c>
      <c r="S60" s="75">
        <f t="shared" si="2"/>
        <v>0</v>
      </c>
    </row>
    <row r="61" spans="1:19" s="144" customFormat="1" ht="76.5" hidden="1" customHeight="1" x14ac:dyDescent="0.25">
      <c r="A61" s="140" t="s">
        <v>275</v>
      </c>
      <c r="B61" s="140" t="s">
        <v>276</v>
      </c>
      <c r="C61" s="185">
        <v>1040</v>
      </c>
      <c r="D61" s="159" t="s">
        <v>277</v>
      </c>
      <c r="E61" s="147">
        <f>F61+I61</f>
        <v>0</v>
      </c>
      <c r="F61" s="147"/>
      <c r="G61" s="147"/>
      <c r="H61" s="147"/>
      <c r="I61" s="147"/>
      <c r="J61" s="143">
        <f t="shared" ref="J61:J66" si="11">L61+O61</f>
        <v>0</v>
      </c>
      <c r="K61" s="143"/>
      <c r="L61" s="143"/>
      <c r="M61" s="143"/>
      <c r="N61" s="143"/>
      <c r="O61" s="143"/>
      <c r="P61" s="143">
        <f t="shared" si="6"/>
        <v>0</v>
      </c>
      <c r="R61" s="145">
        <f t="shared" si="3"/>
        <v>0</v>
      </c>
      <c r="S61" s="75">
        <f t="shared" si="2"/>
        <v>0</v>
      </c>
    </row>
    <row r="62" spans="1:19" ht="30.75" hidden="1" customHeight="1" x14ac:dyDescent="0.25">
      <c r="A62" s="136" t="s">
        <v>278</v>
      </c>
      <c r="B62" s="136" t="s">
        <v>279</v>
      </c>
      <c r="C62" s="137" t="s">
        <v>280</v>
      </c>
      <c r="D62" s="170" t="s">
        <v>281</v>
      </c>
      <c r="E62" s="138">
        <f>F62</f>
        <v>0</v>
      </c>
      <c r="F62" s="138"/>
      <c r="G62" s="138"/>
      <c r="H62" s="138"/>
      <c r="I62" s="138"/>
      <c r="J62" s="138">
        <f t="shared" si="11"/>
        <v>0</v>
      </c>
      <c r="K62" s="138"/>
      <c r="L62" s="138"/>
      <c r="M62" s="138"/>
      <c r="N62" s="138"/>
      <c r="O62" s="138"/>
      <c r="P62" s="138">
        <f t="shared" si="6"/>
        <v>0</v>
      </c>
      <c r="R62" s="134">
        <f>K62-O62</f>
        <v>0</v>
      </c>
      <c r="S62" s="135">
        <f>O62-K62</f>
        <v>0</v>
      </c>
    </row>
    <row r="63" spans="1:19" ht="30.75" hidden="1" customHeight="1" x14ac:dyDescent="0.25">
      <c r="A63" s="136" t="s">
        <v>282</v>
      </c>
      <c r="B63" s="136" t="s">
        <v>283</v>
      </c>
      <c r="C63" s="137" t="s">
        <v>284</v>
      </c>
      <c r="D63" s="182" t="s">
        <v>285</v>
      </c>
      <c r="E63" s="169">
        <f t="shared" ref="E63:E81" si="12">F63+I63</f>
        <v>0</v>
      </c>
      <c r="F63" s="169"/>
      <c r="G63" s="169"/>
      <c r="H63" s="169"/>
      <c r="I63" s="169"/>
      <c r="J63" s="138">
        <f t="shared" si="11"/>
        <v>0</v>
      </c>
      <c r="K63" s="138"/>
      <c r="L63" s="169"/>
      <c r="M63" s="169"/>
      <c r="N63" s="169"/>
      <c r="O63" s="138"/>
      <c r="P63" s="138">
        <f t="shared" si="6"/>
        <v>0</v>
      </c>
      <c r="R63" s="134">
        <f>K63-O63</f>
        <v>0</v>
      </c>
      <c r="S63" s="135">
        <f>O63-K63</f>
        <v>0</v>
      </c>
    </row>
    <row r="64" spans="1:19" ht="42.75" customHeight="1" x14ac:dyDescent="0.25">
      <c r="A64" s="136" t="s">
        <v>286</v>
      </c>
      <c r="B64" s="136" t="s">
        <v>287</v>
      </c>
      <c r="C64" s="137" t="s">
        <v>288</v>
      </c>
      <c r="D64" s="182" t="s">
        <v>289</v>
      </c>
      <c r="E64" s="169">
        <f t="shared" si="12"/>
        <v>110506</v>
      </c>
      <c r="F64" s="169">
        <f>90575+19931</f>
        <v>110506</v>
      </c>
      <c r="G64" s="169">
        <v>90575</v>
      </c>
      <c r="H64" s="169"/>
      <c r="I64" s="169"/>
      <c r="J64" s="138">
        <f t="shared" si="11"/>
        <v>0</v>
      </c>
      <c r="K64" s="138"/>
      <c r="L64" s="169"/>
      <c r="M64" s="169"/>
      <c r="N64" s="169"/>
      <c r="O64" s="138"/>
      <c r="P64" s="138">
        <f t="shared" si="6"/>
        <v>110506</v>
      </c>
      <c r="R64" s="134">
        <f>K64-O64</f>
        <v>0</v>
      </c>
      <c r="S64" s="135">
        <f>O64-K64</f>
        <v>0</v>
      </c>
    </row>
    <row r="65" spans="1:19" ht="30.75" customHeight="1" x14ac:dyDescent="0.25">
      <c r="A65" s="136" t="s">
        <v>290</v>
      </c>
      <c r="B65" s="136" t="s">
        <v>291</v>
      </c>
      <c r="C65" s="137" t="s">
        <v>292</v>
      </c>
      <c r="D65" s="186" t="s">
        <v>293</v>
      </c>
      <c r="E65" s="169">
        <f t="shared" si="12"/>
        <v>0</v>
      </c>
      <c r="F65" s="169"/>
      <c r="G65" s="169"/>
      <c r="H65" s="169"/>
      <c r="I65" s="169"/>
      <c r="J65" s="138">
        <f t="shared" si="11"/>
        <v>-100000</v>
      </c>
      <c r="K65" s="169">
        <v>-100000</v>
      </c>
      <c r="L65" s="169"/>
      <c r="M65" s="169"/>
      <c r="N65" s="169"/>
      <c r="O65" s="169">
        <v>-100000</v>
      </c>
      <c r="P65" s="138">
        <f t="shared" si="6"/>
        <v>-100000</v>
      </c>
      <c r="R65" s="134">
        <f>K65-O65</f>
        <v>0</v>
      </c>
      <c r="S65" s="135">
        <f>O65-K65</f>
        <v>0</v>
      </c>
    </row>
    <row r="66" spans="1:19" s="144" customFormat="1" ht="31.5" hidden="1" customHeight="1" x14ac:dyDescent="0.25">
      <c r="A66" s="140" t="s">
        <v>294</v>
      </c>
      <c r="B66" s="140" t="s">
        <v>295</v>
      </c>
      <c r="C66" s="141" t="s">
        <v>296</v>
      </c>
      <c r="D66" s="160" t="s">
        <v>297</v>
      </c>
      <c r="E66" s="143">
        <f t="shared" si="12"/>
        <v>0</v>
      </c>
      <c r="F66" s="143"/>
      <c r="G66" s="143"/>
      <c r="H66" s="143"/>
      <c r="I66" s="143"/>
      <c r="J66" s="143">
        <f t="shared" si="11"/>
        <v>0</v>
      </c>
      <c r="K66" s="143"/>
      <c r="L66" s="143"/>
      <c r="M66" s="143"/>
      <c r="N66" s="143"/>
      <c r="O66" s="143"/>
      <c r="P66" s="143">
        <f t="shared" si="6"/>
        <v>0</v>
      </c>
      <c r="R66" s="145">
        <f t="shared" si="3"/>
        <v>0</v>
      </c>
      <c r="S66" s="75">
        <f t="shared" si="2"/>
        <v>0</v>
      </c>
    </row>
    <row r="67" spans="1:19" s="144" customFormat="1" ht="36.75" hidden="1" customHeight="1" x14ac:dyDescent="0.25">
      <c r="A67" s="140" t="s">
        <v>298</v>
      </c>
      <c r="B67" s="140" t="s">
        <v>299</v>
      </c>
      <c r="C67" s="141" t="s">
        <v>296</v>
      </c>
      <c r="D67" s="160" t="s">
        <v>300</v>
      </c>
      <c r="E67" s="143">
        <f t="shared" si="12"/>
        <v>0</v>
      </c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>
        <f t="shared" si="6"/>
        <v>0</v>
      </c>
      <c r="R67" s="145">
        <f t="shared" si="3"/>
        <v>0</v>
      </c>
      <c r="S67" s="75">
        <f t="shared" si="2"/>
        <v>0</v>
      </c>
    </row>
    <row r="68" spans="1:19" s="139" customFormat="1" ht="37.5" customHeight="1" x14ac:dyDescent="0.25">
      <c r="A68" s="136" t="s">
        <v>301</v>
      </c>
      <c r="B68" s="136" t="s">
        <v>302</v>
      </c>
      <c r="C68" s="137" t="s">
        <v>296</v>
      </c>
      <c r="D68" s="182" t="s">
        <v>303</v>
      </c>
      <c r="E68" s="138">
        <f t="shared" si="12"/>
        <v>-2119615</v>
      </c>
      <c r="F68" s="169">
        <f>-1755000-364615</f>
        <v>-2119615</v>
      </c>
      <c r="G68" s="169">
        <v>-1755000</v>
      </c>
      <c r="H68" s="169"/>
      <c r="I68" s="169"/>
      <c r="J68" s="138">
        <f>L68+O68</f>
        <v>0</v>
      </c>
      <c r="K68" s="138"/>
      <c r="L68" s="169"/>
      <c r="M68" s="169"/>
      <c r="N68" s="169"/>
      <c r="O68" s="138"/>
      <c r="P68" s="138">
        <f>E68+J68</f>
        <v>-2119615</v>
      </c>
      <c r="R68" s="134">
        <f t="shared" si="3"/>
        <v>0</v>
      </c>
      <c r="S68" s="135">
        <f t="shared" si="2"/>
        <v>0</v>
      </c>
    </row>
    <row r="69" spans="1:19" s="144" customFormat="1" ht="37.5" hidden="1" customHeight="1" x14ac:dyDescent="0.25">
      <c r="A69" s="140" t="s">
        <v>304</v>
      </c>
      <c r="B69" s="140" t="s">
        <v>305</v>
      </c>
      <c r="C69" s="141" t="s">
        <v>296</v>
      </c>
      <c r="D69" s="142" t="s">
        <v>306</v>
      </c>
      <c r="E69" s="143">
        <f t="shared" si="12"/>
        <v>0</v>
      </c>
      <c r="F69" s="147"/>
      <c r="G69" s="147"/>
      <c r="H69" s="147"/>
      <c r="I69" s="147"/>
      <c r="J69" s="143"/>
      <c r="K69" s="143"/>
      <c r="L69" s="147"/>
      <c r="M69" s="147"/>
      <c r="N69" s="147"/>
      <c r="O69" s="143"/>
      <c r="P69" s="143">
        <f t="shared" si="6"/>
        <v>0</v>
      </c>
      <c r="R69" s="145">
        <f t="shared" si="3"/>
        <v>0</v>
      </c>
      <c r="S69" s="75">
        <f t="shared" si="2"/>
        <v>0</v>
      </c>
    </row>
    <row r="70" spans="1:19" s="124" customFormat="1" ht="42.75" customHeight="1" x14ac:dyDescent="0.25">
      <c r="A70" s="129" t="s">
        <v>307</v>
      </c>
      <c r="B70" s="129" t="s">
        <v>308</v>
      </c>
      <c r="C70" s="130"/>
      <c r="D70" s="131" t="s">
        <v>309</v>
      </c>
      <c r="E70" s="187">
        <f t="shared" si="12"/>
        <v>-6984276.9999989998</v>
      </c>
      <c r="F70" s="132">
        <f t="shared" ref="F70:O70" si="13">F71</f>
        <v>-6984276.9999989998</v>
      </c>
      <c r="G70" s="132">
        <f t="shared" si="13"/>
        <v>0</v>
      </c>
      <c r="H70" s="132">
        <f t="shared" si="13"/>
        <v>60000</v>
      </c>
      <c r="I70" s="132">
        <f t="shared" si="13"/>
        <v>0</v>
      </c>
      <c r="J70" s="132">
        <f>J71</f>
        <v>0</v>
      </c>
      <c r="K70" s="132">
        <f t="shared" si="13"/>
        <v>0</v>
      </c>
      <c r="L70" s="132">
        <f t="shared" si="13"/>
        <v>0</v>
      </c>
      <c r="M70" s="132">
        <f t="shared" si="13"/>
        <v>0</v>
      </c>
      <c r="N70" s="132">
        <f t="shared" si="13"/>
        <v>0</v>
      </c>
      <c r="O70" s="132">
        <f t="shared" si="13"/>
        <v>0</v>
      </c>
      <c r="P70" s="132">
        <f>E70+J70</f>
        <v>-6984276.9999989998</v>
      </c>
      <c r="R70" s="134">
        <f t="shared" si="3"/>
        <v>0</v>
      </c>
      <c r="S70" s="135">
        <f t="shared" si="2"/>
        <v>0</v>
      </c>
    </row>
    <row r="71" spans="1:19" s="124" customFormat="1" ht="41.25" customHeight="1" x14ac:dyDescent="0.25">
      <c r="A71" s="129" t="s">
        <v>310</v>
      </c>
      <c r="B71" s="129"/>
      <c r="C71" s="130"/>
      <c r="D71" s="188" t="s">
        <v>311</v>
      </c>
      <c r="E71" s="187">
        <f t="shared" si="12"/>
        <v>-6984276.9999989998</v>
      </c>
      <c r="F71" s="132">
        <f>SUM(F72:F82)</f>
        <v>-6984276.9999989998</v>
      </c>
      <c r="G71" s="132">
        <f>SUM(G72:G82)</f>
        <v>0</v>
      </c>
      <c r="H71" s="132">
        <f>SUM(H72:H82)</f>
        <v>60000</v>
      </c>
      <c r="I71" s="132">
        <f>SUM(I72:I82)</f>
        <v>0</v>
      </c>
      <c r="J71" s="132">
        <f>L71+O71</f>
        <v>0</v>
      </c>
      <c r="K71" s="132">
        <f>SUM(K72:K82)</f>
        <v>0</v>
      </c>
      <c r="L71" s="132">
        <f>SUM(L72:L82)</f>
        <v>0</v>
      </c>
      <c r="M71" s="132">
        <f>SUM(M72:M82)</f>
        <v>0</v>
      </c>
      <c r="N71" s="132">
        <f>SUM(N72:N82)</f>
        <v>0</v>
      </c>
      <c r="O71" s="132">
        <f>SUM(O72:O82)</f>
        <v>0</v>
      </c>
      <c r="P71" s="132">
        <f>E71+J71</f>
        <v>-6984276.9999989998</v>
      </c>
      <c r="R71" s="134">
        <f t="shared" si="3"/>
        <v>0</v>
      </c>
      <c r="S71" s="135">
        <f t="shared" si="2"/>
        <v>0</v>
      </c>
    </row>
    <row r="72" spans="1:19" ht="47.25" x14ac:dyDescent="0.25">
      <c r="A72" s="189" t="s">
        <v>312</v>
      </c>
      <c r="B72" s="189" t="s">
        <v>147</v>
      </c>
      <c r="C72" s="190" t="s">
        <v>148</v>
      </c>
      <c r="D72" s="32" t="s">
        <v>149</v>
      </c>
      <c r="E72" s="169">
        <f t="shared" si="12"/>
        <v>9.9999999999999995E-7</v>
      </c>
      <c r="F72" s="169">
        <f>60000-60000+0.000001</f>
        <v>9.9999999999999995E-7</v>
      </c>
      <c r="G72" s="169"/>
      <c r="H72" s="169">
        <v>60000</v>
      </c>
      <c r="I72" s="169"/>
      <c r="J72" s="138">
        <f>L72+O72</f>
        <v>0</v>
      </c>
      <c r="K72" s="138"/>
      <c r="L72" s="138"/>
      <c r="M72" s="138"/>
      <c r="N72" s="138"/>
      <c r="O72" s="138"/>
      <c r="P72" s="138">
        <f t="shared" si="6"/>
        <v>9.9999999999999995E-7</v>
      </c>
      <c r="R72" s="134">
        <f t="shared" si="3"/>
        <v>0</v>
      </c>
      <c r="S72" s="135">
        <f t="shared" si="2"/>
        <v>0</v>
      </c>
    </row>
    <row r="73" spans="1:19" ht="62.25" hidden="1" customHeight="1" x14ac:dyDescent="0.25">
      <c r="A73" s="140" t="s">
        <v>313</v>
      </c>
      <c r="B73" s="140" t="s">
        <v>151</v>
      </c>
      <c r="C73" s="141" t="s">
        <v>152</v>
      </c>
      <c r="D73" s="142" t="s">
        <v>153</v>
      </c>
      <c r="E73" s="169">
        <f t="shared" si="12"/>
        <v>0</v>
      </c>
      <c r="F73" s="169"/>
      <c r="G73" s="169"/>
      <c r="H73" s="169"/>
      <c r="I73" s="169"/>
      <c r="J73" s="138"/>
      <c r="K73" s="138"/>
      <c r="L73" s="138"/>
      <c r="M73" s="138"/>
      <c r="N73" s="138"/>
      <c r="O73" s="138"/>
      <c r="P73" s="138">
        <f t="shared" si="6"/>
        <v>0</v>
      </c>
      <c r="R73" s="134"/>
      <c r="S73" s="135"/>
    </row>
    <row r="74" spans="1:19" s="7" customFormat="1" ht="31.5" hidden="1" customHeight="1" x14ac:dyDescent="0.25">
      <c r="A74" s="140" t="s">
        <v>314</v>
      </c>
      <c r="B74" s="140" t="s">
        <v>315</v>
      </c>
      <c r="C74" s="141" t="s">
        <v>234</v>
      </c>
      <c r="D74" s="154" t="s">
        <v>316</v>
      </c>
      <c r="E74" s="147">
        <f t="shared" si="12"/>
        <v>0</v>
      </c>
      <c r="F74" s="147"/>
      <c r="G74" s="147"/>
      <c r="H74" s="147"/>
      <c r="I74" s="147"/>
      <c r="J74" s="143"/>
      <c r="K74" s="143"/>
      <c r="L74" s="143"/>
      <c r="M74" s="143"/>
      <c r="N74" s="143"/>
      <c r="O74" s="143"/>
      <c r="P74" s="143">
        <f t="shared" si="6"/>
        <v>0</v>
      </c>
      <c r="R74" s="145">
        <f t="shared" si="3"/>
        <v>0</v>
      </c>
      <c r="S74" s="75">
        <f t="shared" si="2"/>
        <v>0</v>
      </c>
    </row>
    <row r="75" spans="1:19" s="7" customFormat="1" ht="37.5" hidden="1" customHeight="1" x14ac:dyDescent="0.25">
      <c r="A75" s="140" t="s">
        <v>317</v>
      </c>
      <c r="B75" s="140" t="s">
        <v>318</v>
      </c>
      <c r="C75" s="141" t="s">
        <v>234</v>
      </c>
      <c r="D75" s="142" t="s">
        <v>319</v>
      </c>
      <c r="E75" s="147">
        <f t="shared" si="12"/>
        <v>0</v>
      </c>
      <c r="F75" s="147"/>
      <c r="G75" s="143"/>
      <c r="H75" s="143"/>
      <c r="I75" s="143"/>
      <c r="J75" s="143">
        <f>L75+O75</f>
        <v>0</v>
      </c>
      <c r="K75" s="143"/>
      <c r="L75" s="143"/>
      <c r="M75" s="143"/>
      <c r="N75" s="143"/>
      <c r="O75" s="143"/>
      <c r="P75" s="143">
        <f>E75+J75</f>
        <v>0</v>
      </c>
      <c r="R75" s="145">
        <f t="shared" si="3"/>
        <v>0</v>
      </c>
      <c r="S75" s="75">
        <f t="shared" si="2"/>
        <v>0</v>
      </c>
    </row>
    <row r="76" spans="1:19" s="7" customFormat="1" ht="48.75" hidden="1" customHeight="1" x14ac:dyDescent="0.25">
      <c r="A76" s="140" t="s">
        <v>320</v>
      </c>
      <c r="B76" s="140" t="s">
        <v>321</v>
      </c>
      <c r="C76" s="141" t="s">
        <v>234</v>
      </c>
      <c r="D76" s="142" t="s">
        <v>322</v>
      </c>
      <c r="E76" s="147">
        <f t="shared" si="12"/>
        <v>0</v>
      </c>
      <c r="F76" s="147"/>
      <c r="G76" s="143"/>
      <c r="H76" s="143"/>
      <c r="I76" s="143"/>
      <c r="J76" s="143"/>
      <c r="K76" s="143"/>
      <c r="L76" s="143"/>
      <c r="M76" s="143"/>
      <c r="N76" s="143"/>
      <c r="O76" s="143"/>
      <c r="P76" s="143">
        <f>E76+J76</f>
        <v>0</v>
      </c>
      <c r="R76" s="145">
        <f t="shared" si="3"/>
        <v>0</v>
      </c>
      <c r="S76" s="75">
        <f t="shared" si="2"/>
        <v>0</v>
      </c>
    </row>
    <row r="77" spans="1:19" s="7" customFormat="1" ht="47.25" hidden="1" customHeight="1" x14ac:dyDescent="0.25">
      <c r="A77" s="140" t="s">
        <v>323</v>
      </c>
      <c r="B77" s="140" t="s">
        <v>324</v>
      </c>
      <c r="C77" s="141" t="s">
        <v>325</v>
      </c>
      <c r="D77" s="142" t="s">
        <v>326</v>
      </c>
      <c r="E77" s="147">
        <f t="shared" si="12"/>
        <v>0</v>
      </c>
      <c r="F77" s="147"/>
      <c r="G77" s="143"/>
      <c r="H77" s="143"/>
      <c r="I77" s="143"/>
      <c r="J77" s="143"/>
      <c r="K77" s="143"/>
      <c r="L77" s="143"/>
      <c r="M77" s="143"/>
      <c r="N77" s="143"/>
      <c r="O77" s="143"/>
      <c r="P77" s="143">
        <f>E77+J77</f>
        <v>0</v>
      </c>
      <c r="R77" s="145">
        <f t="shared" si="3"/>
        <v>0</v>
      </c>
      <c r="S77" s="75">
        <f t="shared" si="2"/>
        <v>0</v>
      </c>
    </row>
    <row r="78" spans="1:19" s="7" customFormat="1" ht="79.5" hidden="1" customHeight="1" x14ac:dyDescent="0.25">
      <c r="A78" s="140" t="s">
        <v>327</v>
      </c>
      <c r="B78" s="140" t="s">
        <v>328</v>
      </c>
      <c r="C78" s="141" t="s">
        <v>217</v>
      </c>
      <c r="D78" s="142" t="s">
        <v>329</v>
      </c>
      <c r="E78" s="147">
        <f t="shared" si="12"/>
        <v>0</v>
      </c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3">
        <f t="shared" ref="P78:P126" si="14">E78+J78</f>
        <v>0</v>
      </c>
      <c r="R78" s="145">
        <f t="shared" si="3"/>
        <v>0</v>
      </c>
      <c r="S78" s="75">
        <f t="shared" si="2"/>
        <v>0</v>
      </c>
    </row>
    <row r="79" spans="1:19" s="7" customFormat="1" ht="28.5" hidden="1" customHeight="1" x14ac:dyDescent="0.25">
      <c r="A79" s="140" t="s">
        <v>330</v>
      </c>
      <c r="B79" s="140" t="s">
        <v>176</v>
      </c>
      <c r="C79" s="141" t="s">
        <v>177</v>
      </c>
      <c r="D79" s="142" t="s">
        <v>178</v>
      </c>
      <c r="E79" s="174">
        <f t="shared" si="12"/>
        <v>0</v>
      </c>
      <c r="F79" s="174"/>
      <c r="G79" s="161"/>
      <c r="H79" s="161"/>
      <c r="I79" s="161"/>
      <c r="J79" s="161">
        <f>L79+O79</f>
        <v>0</v>
      </c>
      <c r="K79" s="161"/>
      <c r="L79" s="161"/>
      <c r="M79" s="161"/>
      <c r="N79" s="161"/>
      <c r="O79" s="161"/>
      <c r="P79" s="161">
        <f t="shared" si="14"/>
        <v>0</v>
      </c>
      <c r="R79" s="145">
        <f t="shared" si="3"/>
        <v>0</v>
      </c>
      <c r="S79" s="73">
        <f t="shared" si="2"/>
        <v>0</v>
      </c>
    </row>
    <row r="80" spans="1:19" s="7" customFormat="1" ht="69.75" hidden="1" customHeight="1" x14ac:dyDescent="0.25">
      <c r="A80" s="140" t="s">
        <v>331</v>
      </c>
      <c r="B80" s="140" t="s">
        <v>332</v>
      </c>
      <c r="C80" s="141" t="s">
        <v>234</v>
      </c>
      <c r="D80" s="142" t="s">
        <v>333</v>
      </c>
      <c r="E80" s="147">
        <f t="shared" si="12"/>
        <v>0</v>
      </c>
      <c r="F80" s="147"/>
      <c r="G80" s="143"/>
      <c r="H80" s="143"/>
      <c r="I80" s="143"/>
      <c r="J80" s="143"/>
      <c r="K80" s="143"/>
      <c r="L80" s="143"/>
      <c r="M80" s="143"/>
      <c r="N80" s="143"/>
      <c r="O80" s="143"/>
      <c r="P80" s="143">
        <f>E80+J80</f>
        <v>0</v>
      </c>
      <c r="R80" s="145"/>
      <c r="S80" s="73"/>
    </row>
    <row r="81" spans="1:19" s="7" customFormat="1" ht="42.75" customHeight="1" x14ac:dyDescent="0.25">
      <c r="A81" s="140" t="s">
        <v>334</v>
      </c>
      <c r="B81" s="140" t="s">
        <v>180</v>
      </c>
      <c r="C81" s="141" t="s">
        <v>335</v>
      </c>
      <c r="D81" s="159" t="s">
        <v>182</v>
      </c>
      <c r="E81" s="147">
        <f t="shared" si="12"/>
        <v>-6984277</v>
      </c>
      <c r="F81" s="147">
        <f>-7000000+15723</f>
        <v>-6984277</v>
      </c>
      <c r="G81" s="147"/>
      <c r="H81" s="147"/>
      <c r="I81" s="147"/>
      <c r="J81" s="143">
        <f>L81+O81</f>
        <v>0</v>
      </c>
      <c r="K81" s="147"/>
      <c r="L81" s="147"/>
      <c r="M81" s="147"/>
      <c r="N81" s="147"/>
      <c r="O81" s="147"/>
      <c r="P81" s="143">
        <f>E81+J81</f>
        <v>-6984277</v>
      </c>
      <c r="R81" s="145">
        <f t="shared" si="3"/>
        <v>0</v>
      </c>
      <c r="S81" s="73">
        <f t="shared" si="2"/>
        <v>0</v>
      </c>
    </row>
    <row r="82" spans="1:19" s="7" customFormat="1" ht="94.5" hidden="1" customHeight="1" x14ac:dyDescent="0.25">
      <c r="A82" s="140" t="s">
        <v>336</v>
      </c>
      <c r="B82" s="140" t="s">
        <v>195</v>
      </c>
      <c r="C82" s="146" t="s">
        <v>185</v>
      </c>
      <c r="D82" s="166" t="s">
        <v>196</v>
      </c>
      <c r="E82" s="147">
        <f>F82+I82</f>
        <v>0</v>
      </c>
      <c r="F82" s="147"/>
      <c r="G82" s="147"/>
      <c r="H82" s="147"/>
      <c r="I82" s="147"/>
      <c r="J82" s="143">
        <f>L82+O82</f>
        <v>0</v>
      </c>
      <c r="K82" s="147"/>
      <c r="L82" s="147"/>
      <c r="M82" s="147"/>
      <c r="N82" s="147"/>
      <c r="O82" s="147"/>
      <c r="P82" s="143">
        <f>E82+J82</f>
        <v>0</v>
      </c>
      <c r="R82" s="145">
        <f t="shared" si="3"/>
        <v>0</v>
      </c>
      <c r="S82" s="73">
        <f t="shared" si="2"/>
        <v>0</v>
      </c>
    </row>
    <row r="83" spans="1:19" s="124" customFormat="1" ht="46.5" customHeight="1" x14ac:dyDescent="0.25">
      <c r="A83" s="129" t="s">
        <v>337</v>
      </c>
      <c r="B83" s="129" t="s">
        <v>338</v>
      </c>
      <c r="C83" s="130"/>
      <c r="D83" s="131" t="s">
        <v>339</v>
      </c>
      <c r="E83" s="132">
        <f>E84</f>
        <v>6383277</v>
      </c>
      <c r="F83" s="132">
        <f>F84</f>
        <v>10118664</v>
      </c>
      <c r="G83" s="132">
        <f>G84</f>
        <v>0</v>
      </c>
      <c r="H83" s="132">
        <f>H84</f>
        <v>45387</v>
      </c>
      <c r="I83" s="132">
        <f>I84</f>
        <v>-3735387</v>
      </c>
      <c r="J83" s="187">
        <f t="shared" ref="J83:J107" si="15">L83+O83</f>
        <v>5269650</v>
      </c>
      <c r="K83" s="132">
        <f>K84</f>
        <v>5269650</v>
      </c>
      <c r="L83" s="132">
        <f>L84</f>
        <v>0</v>
      </c>
      <c r="M83" s="132">
        <f>M84</f>
        <v>0</v>
      </c>
      <c r="N83" s="132">
        <f>N84</f>
        <v>0</v>
      </c>
      <c r="O83" s="132">
        <f>O84</f>
        <v>5269650</v>
      </c>
      <c r="P83" s="132">
        <f>E83+J83+0.000001</f>
        <v>11652927.000001</v>
      </c>
      <c r="Q83" s="124">
        <v>2606165</v>
      </c>
      <c r="R83" s="134">
        <f>Q83+P83</f>
        <v>14259092.000001</v>
      </c>
      <c r="S83" s="135">
        <f t="shared" si="2"/>
        <v>0</v>
      </c>
    </row>
    <row r="84" spans="1:19" s="124" customFormat="1" ht="47.25" customHeight="1" x14ac:dyDescent="0.25">
      <c r="A84" s="129" t="s">
        <v>340</v>
      </c>
      <c r="B84" s="129"/>
      <c r="C84" s="130"/>
      <c r="D84" s="131" t="s">
        <v>341</v>
      </c>
      <c r="E84" s="132">
        <f t="shared" ref="E84:E95" si="16">F84+I84</f>
        <v>6383277</v>
      </c>
      <c r="F84" s="132">
        <f>SUM(F85:F107)</f>
        <v>10118664</v>
      </c>
      <c r="G84" s="132">
        <f>SUM(G85:G107)</f>
        <v>0</v>
      </c>
      <c r="H84" s="132">
        <f>SUM(H85:H107)</f>
        <v>45387</v>
      </c>
      <c r="I84" s="132">
        <f>SUM(I85:I107)</f>
        <v>-3735387</v>
      </c>
      <c r="J84" s="187">
        <f>L84+O84</f>
        <v>5269650</v>
      </c>
      <c r="K84" s="132">
        <f>SUM(K85:K107)</f>
        <v>5269650</v>
      </c>
      <c r="L84" s="132">
        <f>SUM(L85:L107)</f>
        <v>0</v>
      </c>
      <c r="M84" s="132">
        <f>SUM(M85:M107)</f>
        <v>0</v>
      </c>
      <c r="N84" s="132">
        <f>SUM(N85:N107)</f>
        <v>0</v>
      </c>
      <c r="O84" s="132">
        <f>SUM(O85:O107)</f>
        <v>5269650</v>
      </c>
      <c r="P84" s="132">
        <f>E84+J84+0.00001</f>
        <v>11652927.000010001</v>
      </c>
      <c r="Q84" s="174">
        <v>3759496</v>
      </c>
      <c r="R84" s="134">
        <f t="shared" si="3"/>
        <v>0</v>
      </c>
      <c r="S84" s="135">
        <f t="shared" si="2"/>
        <v>0</v>
      </c>
    </row>
    <row r="85" spans="1:19" ht="59.25" customHeight="1" x14ac:dyDescent="0.25">
      <c r="A85" s="136" t="s">
        <v>342</v>
      </c>
      <c r="B85" s="136" t="s">
        <v>147</v>
      </c>
      <c r="C85" s="137" t="s">
        <v>148</v>
      </c>
      <c r="D85" s="32" t="s">
        <v>149</v>
      </c>
      <c r="E85" s="169">
        <f t="shared" si="16"/>
        <v>45387</v>
      </c>
      <c r="F85" s="169">
        <f>H85</f>
        <v>45387</v>
      </c>
      <c r="G85" s="169"/>
      <c r="H85" s="169">
        <f>14761+30626</f>
        <v>45387</v>
      </c>
      <c r="I85" s="169"/>
      <c r="J85" s="169">
        <f t="shared" si="15"/>
        <v>0</v>
      </c>
      <c r="K85" s="169"/>
      <c r="L85" s="169"/>
      <c r="M85" s="169"/>
      <c r="N85" s="169"/>
      <c r="O85" s="169"/>
      <c r="P85" s="138">
        <f t="shared" si="14"/>
        <v>45387</v>
      </c>
      <c r="Q85" s="6">
        <v>2300000</v>
      </c>
      <c r="R85" s="134">
        <f t="shared" si="3"/>
        <v>0</v>
      </c>
      <c r="S85" s="135">
        <f t="shared" si="2"/>
        <v>0</v>
      </c>
    </row>
    <row r="86" spans="1:19" ht="23.25" customHeight="1" x14ac:dyDescent="0.25">
      <c r="A86" s="136" t="s">
        <v>343</v>
      </c>
      <c r="B86" s="136" t="s">
        <v>151</v>
      </c>
      <c r="C86" s="137" t="s">
        <v>152</v>
      </c>
      <c r="D86" s="182" t="s">
        <v>153</v>
      </c>
      <c r="E86" s="169">
        <f t="shared" si="16"/>
        <v>-340000</v>
      </c>
      <c r="F86" s="169">
        <f>-120000-220000</f>
        <v>-340000</v>
      </c>
      <c r="G86" s="169"/>
      <c r="H86" s="169"/>
      <c r="I86" s="169"/>
      <c r="J86" s="169">
        <f>L86+O86</f>
        <v>0</v>
      </c>
      <c r="K86" s="169"/>
      <c r="L86" s="169"/>
      <c r="M86" s="169"/>
      <c r="N86" s="169"/>
      <c r="O86" s="169"/>
      <c r="P86" s="138">
        <f>E86+J86</f>
        <v>-340000</v>
      </c>
      <c r="R86" s="134">
        <f t="shared" si="3"/>
        <v>0</v>
      </c>
      <c r="S86" s="135">
        <f t="shared" si="2"/>
        <v>0</v>
      </c>
    </row>
    <row r="87" spans="1:19" s="7" customFormat="1" ht="29.25" hidden="1" customHeight="1" x14ac:dyDescent="0.25">
      <c r="A87" s="140" t="s">
        <v>344</v>
      </c>
      <c r="B87" s="140" t="s">
        <v>176</v>
      </c>
      <c r="C87" s="141" t="s">
        <v>177</v>
      </c>
      <c r="D87" s="142" t="s">
        <v>178</v>
      </c>
      <c r="E87" s="143">
        <f t="shared" si="16"/>
        <v>0</v>
      </c>
      <c r="F87" s="143"/>
      <c r="G87" s="143"/>
      <c r="H87" s="143"/>
      <c r="I87" s="143"/>
      <c r="J87" s="143">
        <f t="shared" si="15"/>
        <v>0</v>
      </c>
      <c r="K87" s="143"/>
      <c r="L87" s="143"/>
      <c r="M87" s="143"/>
      <c r="N87" s="143"/>
      <c r="O87" s="143"/>
      <c r="P87" s="143">
        <f t="shared" si="14"/>
        <v>0</v>
      </c>
      <c r="R87" s="145">
        <f t="shared" si="3"/>
        <v>0</v>
      </c>
      <c r="S87" s="73">
        <f t="shared" si="2"/>
        <v>0</v>
      </c>
    </row>
    <row r="88" spans="1:19" s="7" customFormat="1" ht="37.5" customHeight="1" x14ac:dyDescent="0.25">
      <c r="A88" s="140" t="s">
        <v>345</v>
      </c>
      <c r="B88" s="140" t="s">
        <v>346</v>
      </c>
      <c r="C88" s="155" t="s">
        <v>347</v>
      </c>
      <c r="D88" s="154" t="s">
        <v>348</v>
      </c>
      <c r="E88" s="143">
        <f t="shared" si="16"/>
        <v>-1530000</v>
      </c>
      <c r="F88" s="143"/>
      <c r="G88" s="143"/>
      <c r="H88" s="143"/>
      <c r="I88" s="143">
        <v>-1530000</v>
      </c>
      <c r="J88" s="143">
        <f t="shared" si="15"/>
        <v>0</v>
      </c>
      <c r="K88" s="143"/>
      <c r="L88" s="143"/>
      <c r="M88" s="143"/>
      <c r="N88" s="143"/>
      <c r="O88" s="143"/>
      <c r="P88" s="143">
        <f>E88+J88</f>
        <v>-1530000</v>
      </c>
      <c r="R88" s="145">
        <f t="shared" si="3"/>
        <v>0</v>
      </c>
      <c r="S88" s="73">
        <f>O88-K88</f>
        <v>0</v>
      </c>
    </row>
    <row r="89" spans="1:19" ht="29.25" hidden="1" customHeight="1" x14ac:dyDescent="0.25">
      <c r="A89" s="136" t="s">
        <v>349</v>
      </c>
      <c r="B89" s="136" t="s">
        <v>350</v>
      </c>
      <c r="C89" s="191" t="s">
        <v>347</v>
      </c>
      <c r="D89" s="186" t="s">
        <v>351</v>
      </c>
      <c r="E89" s="138">
        <f t="shared" si="16"/>
        <v>0</v>
      </c>
      <c r="F89" s="138"/>
      <c r="G89" s="138"/>
      <c r="H89" s="138"/>
      <c r="I89" s="138"/>
      <c r="J89" s="169">
        <f>L89+O89</f>
        <v>0</v>
      </c>
      <c r="K89" s="138"/>
      <c r="L89" s="138"/>
      <c r="M89" s="138"/>
      <c r="N89" s="138"/>
      <c r="O89" s="138"/>
      <c r="P89" s="138">
        <f>E89+J89</f>
        <v>0</v>
      </c>
      <c r="R89" s="134"/>
      <c r="S89" s="135"/>
    </row>
    <row r="90" spans="1:19" ht="31.5" hidden="1" customHeight="1" x14ac:dyDescent="0.25">
      <c r="A90" s="136" t="s">
        <v>352</v>
      </c>
      <c r="B90" s="136" t="s">
        <v>353</v>
      </c>
      <c r="C90" s="191" t="s">
        <v>347</v>
      </c>
      <c r="D90" s="186" t="s">
        <v>354</v>
      </c>
      <c r="E90" s="138">
        <f t="shared" si="16"/>
        <v>0</v>
      </c>
      <c r="F90" s="138"/>
      <c r="G90" s="138"/>
      <c r="H90" s="138"/>
      <c r="I90" s="138"/>
      <c r="J90" s="169">
        <f>L90+O90</f>
        <v>0</v>
      </c>
      <c r="K90" s="138"/>
      <c r="L90" s="138"/>
      <c r="M90" s="138"/>
      <c r="N90" s="138"/>
      <c r="O90" s="138"/>
      <c r="P90" s="138">
        <f>E90+J90</f>
        <v>0</v>
      </c>
      <c r="R90" s="134"/>
      <c r="S90" s="135"/>
    </row>
    <row r="91" spans="1:19" ht="26.25" customHeight="1" x14ac:dyDescent="0.25">
      <c r="A91" s="136" t="s">
        <v>355</v>
      </c>
      <c r="B91" s="136" t="s">
        <v>356</v>
      </c>
      <c r="C91" s="137" t="s">
        <v>347</v>
      </c>
      <c r="D91" s="163" t="s">
        <v>357</v>
      </c>
      <c r="E91" s="138">
        <f>F91+I91+0.000001</f>
        <v>9.9999999999999995E-7</v>
      </c>
      <c r="F91" s="169">
        <v>650000</v>
      </c>
      <c r="G91" s="169"/>
      <c r="H91" s="169"/>
      <c r="I91" s="169">
        <v>-650000</v>
      </c>
      <c r="J91" s="169">
        <f>L91+O91</f>
        <v>0</v>
      </c>
      <c r="K91" s="138"/>
      <c r="L91" s="169"/>
      <c r="M91" s="169"/>
      <c r="N91" s="169"/>
      <c r="O91" s="138"/>
      <c r="P91" s="138">
        <f>E91+J91</f>
        <v>9.9999999999999995E-7</v>
      </c>
      <c r="R91" s="134">
        <f>K91-O91</f>
        <v>0</v>
      </c>
      <c r="S91" s="135">
        <f>O91-K91</f>
        <v>0</v>
      </c>
    </row>
    <row r="92" spans="1:19" s="7" customFormat="1" ht="90" customHeight="1" x14ac:dyDescent="0.25">
      <c r="A92" s="140" t="s">
        <v>358</v>
      </c>
      <c r="B92" s="140" t="s">
        <v>359</v>
      </c>
      <c r="C92" s="141" t="s">
        <v>360</v>
      </c>
      <c r="D92" s="159" t="s">
        <v>361</v>
      </c>
      <c r="E92" s="143">
        <f t="shared" si="16"/>
        <v>-55387</v>
      </c>
      <c r="F92" s="147"/>
      <c r="G92" s="147"/>
      <c r="H92" s="147"/>
      <c r="I92" s="147">
        <f>-45387-10000</f>
        <v>-55387</v>
      </c>
      <c r="J92" s="147">
        <f t="shared" si="15"/>
        <v>0</v>
      </c>
      <c r="K92" s="143"/>
      <c r="L92" s="147"/>
      <c r="M92" s="147"/>
      <c r="N92" s="147"/>
      <c r="O92" s="143"/>
      <c r="P92" s="143">
        <f t="shared" si="14"/>
        <v>-55387</v>
      </c>
      <c r="R92" s="145">
        <f>P86+P88+P92+P93+P94+P97+P98+P101</f>
        <v>-11506324</v>
      </c>
      <c r="S92" s="73">
        <f t="shared" ref="S92:S138" si="17">O92-K92</f>
        <v>0</v>
      </c>
    </row>
    <row r="93" spans="1:19" ht="32.25" customHeight="1" x14ac:dyDescent="0.25">
      <c r="A93" s="136" t="s">
        <v>362</v>
      </c>
      <c r="B93" s="136" t="s">
        <v>363</v>
      </c>
      <c r="C93" s="137" t="s">
        <v>360</v>
      </c>
      <c r="D93" s="163" t="s">
        <v>364</v>
      </c>
      <c r="E93" s="138">
        <f t="shared" si="16"/>
        <v>-1737562</v>
      </c>
      <c r="F93" s="169">
        <v>-237562</v>
      </c>
      <c r="G93" s="169"/>
      <c r="H93" s="169"/>
      <c r="I93" s="169">
        <v>-1500000</v>
      </c>
      <c r="J93" s="147">
        <f t="shared" si="15"/>
        <v>-4000000</v>
      </c>
      <c r="K93" s="138">
        <v>-4000000</v>
      </c>
      <c r="L93" s="169"/>
      <c r="M93" s="169"/>
      <c r="N93" s="169"/>
      <c r="O93" s="138">
        <v>-4000000</v>
      </c>
      <c r="P93" s="138">
        <f t="shared" si="14"/>
        <v>-5737562</v>
      </c>
      <c r="R93" s="134">
        <f t="shared" ref="R93:R137" si="18">K93-O93</f>
        <v>0</v>
      </c>
      <c r="S93" s="135">
        <f t="shared" si="17"/>
        <v>0</v>
      </c>
    </row>
    <row r="94" spans="1:19" s="7" customFormat="1" ht="32.25" customHeight="1" x14ac:dyDescent="0.25">
      <c r="A94" s="136" t="s">
        <v>365</v>
      </c>
      <c r="B94" s="192" t="s">
        <v>366</v>
      </c>
      <c r="C94" s="192" t="s">
        <v>367</v>
      </c>
      <c r="D94" s="170" t="s">
        <v>668</v>
      </c>
      <c r="E94" s="143">
        <f t="shared" si="16"/>
        <v>-893375</v>
      </c>
      <c r="F94" s="193">
        <v>-893375</v>
      </c>
      <c r="G94" s="147"/>
      <c r="H94" s="147"/>
      <c r="I94" s="147"/>
      <c r="J94" s="147">
        <f t="shared" si="15"/>
        <v>0</v>
      </c>
      <c r="K94" s="143"/>
      <c r="L94" s="147"/>
      <c r="M94" s="147"/>
      <c r="N94" s="147"/>
      <c r="O94" s="143"/>
      <c r="P94" s="143">
        <f t="shared" si="14"/>
        <v>-893375</v>
      </c>
      <c r="R94" s="145">
        <f t="shared" si="18"/>
        <v>0</v>
      </c>
      <c r="S94" s="73">
        <f t="shared" si="17"/>
        <v>0</v>
      </c>
    </row>
    <row r="95" spans="1:19" ht="28.5" hidden="1" customHeight="1" x14ac:dyDescent="0.25">
      <c r="A95" s="192" t="s">
        <v>369</v>
      </c>
      <c r="B95" s="192" t="s">
        <v>370</v>
      </c>
      <c r="C95" s="194" t="s">
        <v>371</v>
      </c>
      <c r="D95" s="186" t="s">
        <v>372</v>
      </c>
      <c r="E95" s="138">
        <f t="shared" si="16"/>
        <v>0</v>
      </c>
      <c r="F95" s="169"/>
      <c r="G95" s="169"/>
      <c r="H95" s="169"/>
      <c r="I95" s="169"/>
      <c r="J95" s="147">
        <f t="shared" si="15"/>
        <v>0</v>
      </c>
      <c r="K95" s="138"/>
      <c r="L95" s="138"/>
      <c r="M95" s="138"/>
      <c r="N95" s="138"/>
      <c r="O95" s="138"/>
      <c r="P95" s="138">
        <f t="shared" si="14"/>
        <v>0</v>
      </c>
      <c r="R95" s="134">
        <f t="shared" si="18"/>
        <v>0</v>
      </c>
      <c r="S95" s="135">
        <f t="shared" si="17"/>
        <v>0</v>
      </c>
    </row>
    <row r="96" spans="1:19" s="7" customFormat="1" ht="42.75" hidden="1" customHeight="1" x14ac:dyDescent="0.25">
      <c r="A96" s="140" t="s">
        <v>373</v>
      </c>
      <c r="B96" s="141" t="s">
        <v>374</v>
      </c>
      <c r="C96" s="141" t="s">
        <v>371</v>
      </c>
      <c r="D96" s="195" t="s">
        <v>375</v>
      </c>
      <c r="E96" s="143"/>
      <c r="F96" s="147"/>
      <c r="G96" s="147"/>
      <c r="H96" s="147"/>
      <c r="I96" s="147"/>
      <c r="J96" s="147">
        <f t="shared" si="15"/>
        <v>0</v>
      </c>
      <c r="K96" s="143"/>
      <c r="L96" s="147"/>
      <c r="M96" s="147"/>
      <c r="N96" s="147"/>
      <c r="O96" s="143"/>
      <c r="P96" s="143">
        <f t="shared" si="14"/>
        <v>0</v>
      </c>
      <c r="R96" s="145">
        <f t="shared" si="18"/>
        <v>0</v>
      </c>
      <c r="S96" s="73">
        <f t="shared" si="17"/>
        <v>0</v>
      </c>
    </row>
    <row r="97" spans="1:19" s="7" customFormat="1" ht="36.75" customHeight="1" x14ac:dyDescent="0.25">
      <c r="A97" s="140" t="s">
        <v>376</v>
      </c>
      <c r="B97" s="146" t="s">
        <v>377</v>
      </c>
      <c r="C97" s="146" t="s">
        <v>371</v>
      </c>
      <c r="D97" s="171" t="s">
        <v>378</v>
      </c>
      <c r="E97" s="147">
        <f>F97+I97</f>
        <v>0</v>
      </c>
      <c r="F97" s="147"/>
      <c r="G97" s="147"/>
      <c r="H97" s="147"/>
      <c r="I97" s="147"/>
      <c r="J97" s="147">
        <f t="shared" si="15"/>
        <v>-450000</v>
      </c>
      <c r="K97" s="147">
        <f>O97</f>
        <v>-450000</v>
      </c>
      <c r="L97" s="147"/>
      <c r="M97" s="147"/>
      <c r="N97" s="147"/>
      <c r="O97" s="147">
        <v>-450000</v>
      </c>
      <c r="P97" s="143">
        <f>E97+J97</f>
        <v>-450000</v>
      </c>
      <c r="R97" s="145">
        <f t="shared" si="18"/>
        <v>0</v>
      </c>
      <c r="S97" s="73">
        <f t="shared" si="17"/>
        <v>0</v>
      </c>
    </row>
    <row r="98" spans="1:19" s="7" customFormat="1" ht="36.75" customHeight="1" x14ac:dyDescent="0.25">
      <c r="A98" s="140" t="s">
        <v>624</v>
      </c>
      <c r="B98" s="146" t="s">
        <v>625</v>
      </c>
      <c r="C98" s="146" t="s">
        <v>371</v>
      </c>
      <c r="D98" s="171" t="s">
        <v>626</v>
      </c>
      <c r="E98" s="147">
        <f>F98+I98</f>
        <v>0</v>
      </c>
      <c r="F98" s="147"/>
      <c r="G98" s="147"/>
      <c r="H98" s="147"/>
      <c r="I98" s="147"/>
      <c r="J98" s="147">
        <f t="shared" ref="J98" si="19">L98+O98</f>
        <v>-2400000</v>
      </c>
      <c r="K98" s="147">
        <f>O98</f>
        <v>-2400000</v>
      </c>
      <c r="L98" s="147"/>
      <c r="M98" s="147"/>
      <c r="N98" s="147"/>
      <c r="O98" s="147">
        <v>-2400000</v>
      </c>
      <c r="P98" s="143">
        <f>E98+J98</f>
        <v>-2400000</v>
      </c>
      <c r="R98" s="145"/>
      <c r="S98" s="73"/>
    </row>
    <row r="99" spans="1:19" ht="46.5" customHeight="1" x14ac:dyDescent="0.25">
      <c r="A99" s="136" t="s">
        <v>379</v>
      </c>
      <c r="B99" s="136" t="s">
        <v>380</v>
      </c>
      <c r="C99" s="191" t="s">
        <v>381</v>
      </c>
      <c r="D99" s="186" t="s">
        <v>382</v>
      </c>
      <c r="E99" s="138">
        <f t="shared" ref="E99:E106" si="20">F99+I99</f>
        <v>10426652</v>
      </c>
      <c r="F99" s="169">
        <f>17824867+387785-66000-7720000</f>
        <v>10426652</v>
      </c>
      <c r="G99" s="169"/>
      <c r="H99" s="169"/>
      <c r="I99" s="169"/>
      <c r="J99" s="147">
        <f t="shared" si="15"/>
        <v>0</v>
      </c>
      <c r="K99" s="138"/>
      <c r="L99" s="169"/>
      <c r="M99" s="169"/>
      <c r="N99" s="169"/>
      <c r="O99" s="138"/>
      <c r="P99" s="138">
        <f t="shared" si="14"/>
        <v>10426652</v>
      </c>
      <c r="R99" s="134">
        <f t="shared" si="18"/>
        <v>0</v>
      </c>
      <c r="S99" s="135">
        <f t="shared" si="17"/>
        <v>0</v>
      </c>
    </row>
    <row r="100" spans="1:19" s="7" customFormat="1" ht="35.25" hidden="1" customHeight="1" x14ac:dyDescent="0.25">
      <c r="A100" s="140" t="s">
        <v>383</v>
      </c>
      <c r="B100" s="140" t="s">
        <v>384</v>
      </c>
      <c r="C100" s="141" t="s">
        <v>189</v>
      </c>
      <c r="D100" s="196" t="s">
        <v>385</v>
      </c>
      <c r="E100" s="143">
        <f t="shared" si="20"/>
        <v>0</v>
      </c>
      <c r="F100" s="143"/>
      <c r="G100" s="143"/>
      <c r="H100" s="143"/>
      <c r="I100" s="143"/>
      <c r="J100" s="147">
        <f t="shared" si="15"/>
        <v>0</v>
      </c>
      <c r="K100" s="143"/>
      <c r="L100" s="143"/>
      <c r="M100" s="143"/>
      <c r="N100" s="143"/>
      <c r="O100" s="143"/>
      <c r="P100" s="143">
        <f t="shared" si="14"/>
        <v>0</v>
      </c>
      <c r="R100" s="145">
        <f t="shared" si="18"/>
        <v>0</v>
      </c>
      <c r="S100" s="73">
        <f t="shared" si="17"/>
        <v>0</v>
      </c>
    </row>
    <row r="101" spans="1:19" s="7" customFormat="1" ht="37.5" customHeight="1" x14ac:dyDescent="0.25">
      <c r="A101" s="140" t="s">
        <v>386</v>
      </c>
      <c r="B101" s="146" t="s">
        <v>387</v>
      </c>
      <c r="C101" s="146" t="s">
        <v>185</v>
      </c>
      <c r="D101" s="142" t="s">
        <v>388</v>
      </c>
      <c r="E101" s="147">
        <f t="shared" si="20"/>
        <v>0</v>
      </c>
      <c r="F101" s="147"/>
      <c r="G101" s="147"/>
      <c r="H101" s="147"/>
      <c r="I101" s="147"/>
      <c r="J101" s="147">
        <f t="shared" si="15"/>
        <v>-100000</v>
      </c>
      <c r="K101" s="147">
        <f>O101</f>
        <v>-100000</v>
      </c>
      <c r="L101" s="147"/>
      <c r="M101" s="147"/>
      <c r="N101" s="147"/>
      <c r="O101" s="147">
        <v>-100000</v>
      </c>
      <c r="P101" s="143">
        <f>E101+J101</f>
        <v>-100000</v>
      </c>
      <c r="R101" s="145">
        <f t="shared" si="18"/>
        <v>0</v>
      </c>
      <c r="S101" s="73">
        <f t="shared" si="17"/>
        <v>0</v>
      </c>
    </row>
    <row r="102" spans="1:19" s="7" customFormat="1" ht="32.25" hidden="1" customHeight="1" x14ac:dyDescent="0.25">
      <c r="A102" s="140" t="s">
        <v>389</v>
      </c>
      <c r="B102" s="140" t="s">
        <v>198</v>
      </c>
      <c r="C102" s="141" t="s">
        <v>185</v>
      </c>
      <c r="D102" s="196" t="s">
        <v>199</v>
      </c>
      <c r="E102" s="143">
        <f t="shared" si="20"/>
        <v>0</v>
      </c>
      <c r="F102" s="143"/>
      <c r="G102" s="143"/>
      <c r="H102" s="143"/>
      <c r="I102" s="143"/>
      <c r="J102" s="147">
        <f t="shared" si="15"/>
        <v>0</v>
      </c>
      <c r="K102" s="143"/>
      <c r="L102" s="143"/>
      <c r="M102" s="143"/>
      <c r="N102" s="143"/>
      <c r="O102" s="143"/>
      <c r="P102" s="143">
        <f t="shared" si="14"/>
        <v>0</v>
      </c>
      <c r="R102" s="145">
        <f t="shared" si="18"/>
        <v>0</v>
      </c>
      <c r="S102" s="73">
        <f t="shared" si="17"/>
        <v>0</v>
      </c>
    </row>
    <row r="103" spans="1:19" s="7" customFormat="1" ht="32.25" customHeight="1" x14ac:dyDescent="0.25">
      <c r="A103" s="140" t="s">
        <v>390</v>
      </c>
      <c r="B103" s="140" t="s">
        <v>391</v>
      </c>
      <c r="C103" s="141" t="s">
        <v>185</v>
      </c>
      <c r="D103" s="196" t="s">
        <v>392</v>
      </c>
      <c r="E103" s="143">
        <f>F103+I103</f>
        <v>0</v>
      </c>
      <c r="F103" s="143"/>
      <c r="G103" s="143"/>
      <c r="H103" s="143"/>
      <c r="I103" s="143"/>
      <c r="J103" s="147">
        <f>L103+O103</f>
        <v>12219650</v>
      </c>
      <c r="K103" s="143">
        <f>-1330000+9049650-3000000+7500000</f>
        <v>12219650</v>
      </c>
      <c r="L103" s="143"/>
      <c r="M103" s="143"/>
      <c r="N103" s="143"/>
      <c r="O103" s="143">
        <f>K103</f>
        <v>12219650</v>
      </c>
      <c r="P103" s="143">
        <f>E103+J103</f>
        <v>12219650</v>
      </c>
      <c r="R103" s="145"/>
      <c r="S103" s="73"/>
    </row>
    <row r="104" spans="1:19" s="7" customFormat="1" ht="32.25" customHeight="1" x14ac:dyDescent="0.25">
      <c r="A104" s="140" t="s">
        <v>393</v>
      </c>
      <c r="B104" s="165">
        <v>8110</v>
      </c>
      <c r="C104" s="146" t="s">
        <v>202</v>
      </c>
      <c r="D104" s="166" t="s">
        <v>203</v>
      </c>
      <c r="E104" s="143">
        <f t="shared" si="20"/>
        <v>467562</v>
      </c>
      <c r="F104" s="143">
        <f>230000+237562</f>
        <v>467562</v>
      </c>
      <c r="G104" s="143"/>
      <c r="H104" s="143"/>
      <c r="I104" s="143"/>
      <c r="J104" s="147"/>
      <c r="K104" s="143"/>
      <c r="L104" s="143"/>
      <c r="M104" s="143"/>
      <c r="N104" s="143"/>
      <c r="O104" s="143"/>
      <c r="P104" s="143">
        <f t="shared" si="14"/>
        <v>467562</v>
      </c>
      <c r="R104" s="145"/>
      <c r="S104" s="73"/>
    </row>
    <row r="105" spans="1:19" s="7" customFormat="1" ht="31.5" hidden="1" customHeight="1" x14ac:dyDescent="0.25">
      <c r="A105" s="140" t="s">
        <v>394</v>
      </c>
      <c r="B105" s="165">
        <v>8311</v>
      </c>
      <c r="C105" s="140" t="s">
        <v>395</v>
      </c>
      <c r="D105" s="154" t="s">
        <v>396</v>
      </c>
      <c r="E105" s="147">
        <f t="shared" si="20"/>
        <v>0</v>
      </c>
      <c r="F105" s="147"/>
      <c r="G105" s="147"/>
      <c r="H105" s="147"/>
      <c r="I105" s="147"/>
      <c r="J105" s="147">
        <f t="shared" si="15"/>
        <v>0</v>
      </c>
      <c r="K105" s="147"/>
      <c r="L105" s="147"/>
      <c r="M105" s="147"/>
      <c r="N105" s="147"/>
      <c r="O105" s="147"/>
      <c r="P105" s="143">
        <f t="shared" si="14"/>
        <v>0</v>
      </c>
      <c r="R105" s="145">
        <f t="shared" si="18"/>
        <v>0</v>
      </c>
      <c r="S105" s="73">
        <f t="shared" si="17"/>
        <v>0</v>
      </c>
    </row>
    <row r="106" spans="1:19" s="7" customFormat="1" ht="27" hidden="1" customHeight="1" x14ac:dyDescent="0.25">
      <c r="A106" s="140" t="s">
        <v>397</v>
      </c>
      <c r="B106" s="140" t="s">
        <v>398</v>
      </c>
      <c r="C106" s="141" t="s">
        <v>399</v>
      </c>
      <c r="D106" s="159" t="s">
        <v>400</v>
      </c>
      <c r="E106" s="161">
        <f t="shared" si="20"/>
        <v>0</v>
      </c>
      <c r="F106" s="161"/>
      <c r="G106" s="161"/>
      <c r="H106" s="161"/>
      <c r="I106" s="161"/>
      <c r="J106" s="174">
        <f t="shared" si="15"/>
        <v>0</v>
      </c>
      <c r="K106" s="161"/>
      <c r="L106" s="161"/>
      <c r="M106" s="161"/>
      <c r="N106" s="161"/>
      <c r="O106" s="161"/>
      <c r="P106" s="161">
        <f t="shared" si="14"/>
        <v>0</v>
      </c>
      <c r="R106" s="145">
        <f t="shared" si="18"/>
        <v>0</v>
      </c>
      <c r="S106" s="73">
        <f t="shared" si="17"/>
        <v>0</v>
      </c>
    </row>
    <row r="107" spans="1:19" s="7" customFormat="1" ht="120.75" hidden="1" customHeight="1" x14ac:dyDescent="0.25">
      <c r="A107" s="140" t="s">
        <v>401</v>
      </c>
      <c r="B107" s="140" t="s">
        <v>195</v>
      </c>
      <c r="C107" s="146" t="s">
        <v>185</v>
      </c>
      <c r="D107" s="166" t="s">
        <v>196</v>
      </c>
      <c r="E107" s="174"/>
      <c r="F107" s="174"/>
      <c r="G107" s="174"/>
      <c r="H107" s="174"/>
      <c r="I107" s="174"/>
      <c r="J107" s="174">
        <f t="shared" si="15"/>
        <v>0</v>
      </c>
      <c r="K107" s="174"/>
      <c r="L107" s="174"/>
      <c r="M107" s="174"/>
      <c r="N107" s="174"/>
      <c r="O107" s="174"/>
      <c r="P107" s="161">
        <f t="shared" si="14"/>
        <v>0</v>
      </c>
      <c r="R107" s="145">
        <f t="shared" si="18"/>
        <v>0</v>
      </c>
      <c r="S107" s="73">
        <f t="shared" si="17"/>
        <v>0</v>
      </c>
    </row>
    <row r="108" spans="1:19" s="124" customFormat="1" ht="56.25" customHeight="1" x14ac:dyDescent="0.25">
      <c r="A108" s="129" t="s">
        <v>402</v>
      </c>
      <c r="B108" s="129" t="s">
        <v>403</v>
      </c>
      <c r="C108" s="130"/>
      <c r="D108" s="197" t="s">
        <v>404</v>
      </c>
      <c r="E108" s="132">
        <f>F108+I108</f>
        <v>0</v>
      </c>
      <c r="F108" s="132">
        <f t="shared" ref="F108:O108" si="21">F109</f>
        <v>0</v>
      </c>
      <c r="G108" s="132">
        <f t="shared" si="21"/>
        <v>0</v>
      </c>
      <c r="H108" s="132">
        <f t="shared" si="21"/>
        <v>0</v>
      </c>
      <c r="I108" s="132">
        <f t="shared" si="21"/>
        <v>0</v>
      </c>
      <c r="J108" s="132">
        <f t="shared" si="21"/>
        <v>-3999999.9999000002</v>
      </c>
      <c r="K108" s="132">
        <f t="shared" si="21"/>
        <v>-3999999.9999899999</v>
      </c>
      <c r="L108" s="132">
        <f t="shared" si="21"/>
        <v>0</v>
      </c>
      <c r="M108" s="132">
        <f t="shared" si="21"/>
        <v>0</v>
      </c>
      <c r="N108" s="132">
        <f t="shared" si="21"/>
        <v>0</v>
      </c>
      <c r="O108" s="132">
        <f t="shared" si="21"/>
        <v>-3999999.9999899999</v>
      </c>
      <c r="P108" s="132">
        <f>E108+J108+0.00001</f>
        <v>-3999999.9998900001</v>
      </c>
      <c r="Q108" s="124">
        <v>9763551</v>
      </c>
      <c r="R108" s="134">
        <f>P108+Q108</f>
        <v>5763551.0001100004</v>
      </c>
      <c r="S108" s="135">
        <f t="shared" si="17"/>
        <v>0</v>
      </c>
    </row>
    <row r="109" spans="1:19" s="124" customFormat="1" ht="48" customHeight="1" x14ac:dyDescent="0.25">
      <c r="A109" s="129" t="s">
        <v>405</v>
      </c>
      <c r="B109" s="129"/>
      <c r="C109" s="130"/>
      <c r="D109" s="197" t="s">
        <v>406</v>
      </c>
      <c r="E109" s="132">
        <f t="shared" ref="E109:N109" si="22">SUM(E110:E124)</f>
        <v>0</v>
      </c>
      <c r="F109" s="132">
        <f t="shared" si="22"/>
        <v>0</v>
      </c>
      <c r="G109" s="132">
        <f t="shared" si="22"/>
        <v>0</v>
      </c>
      <c r="H109" s="132">
        <f t="shared" si="22"/>
        <v>0</v>
      </c>
      <c r="I109" s="132">
        <f t="shared" si="22"/>
        <v>0</v>
      </c>
      <c r="J109" s="132">
        <f>SUM(J110:J124)+0.0001</f>
        <v>-3999999.9999000002</v>
      </c>
      <c r="K109" s="132">
        <f>SUM(K110:K124)+0.00001</f>
        <v>-3999999.9999899999</v>
      </c>
      <c r="L109" s="132">
        <f t="shared" si="22"/>
        <v>0</v>
      </c>
      <c r="M109" s="132">
        <f t="shared" si="22"/>
        <v>0</v>
      </c>
      <c r="N109" s="132">
        <f t="shared" si="22"/>
        <v>0</v>
      </c>
      <c r="O109" s="132">
        <f>SUM(O110:O124)+0.00001</f>
        <v>-3999999.9999899999</v>
      </c>
      <c r="P109" s="132">
        <f>E109+J109+0.0001</f>
        <v>-3999999.9998000003</v>
      </c>
      <c r="R109" s="134">
        <f t="shared" si="18"/>
        <v>0</v>
      </c>
      <c r="S109" s="135">
        <f t="shared" si="17"/>
        <v>0</v>
      </c>
    </row>
    <row r="110" spans="1:19" s="7" customFormat="1" ht="47.25" hidden="1" customHeight="1" x14ac:dyDescent="0.25">
      <c r="A110" s="140" t="s">
        <v>407</v>
      </c>
      <c r="B110" s="140" t="s">
        <v>147</v>
      </c>
      <c r="C110" s="141" t="s">
        <v>148</v>
      </c>
      <c r="D110" s="156" t="s">
        <v>149</v>
      </c>
      <c r="E110" s="198">
        <f>F110+I110</f>
        <v>0</v>
      </c>
      <c r="F110" s="198"/>
      <c r="G110" s="198"/>
      <c r="H110" s="198"/>
      <c r="I110" s="198"/>
      <c r="J110" s="199">
        <f>L110+O110</f>
        <v>0</v>
      </c>
      <c r="K110" s="199"/>
      <c r="L110" s="198"/>
      <c r="M110" s="198"/>
      <c r="N110" s="199"/>
      <c r="O110" s="199"/>
      <c r="P110" s="199">
        <f t="shared" si="14"/>
        <v>0</v>
      </c>
      <c r="R110" s="145">
        <f t="shared" si="18"/>
        <v>0</v>
      </c>
      <c r="S110" s="73">
        <f t="shared" si="17"/>
        <v>0</v>
      </c>
    </row>
    <row r="111" spans="1:19" s="7" customFormat="1" ht="31.5" hidden="1" customHeight="1" x14ac:dyDescent="0.25">
      <c r="A111" s="140" t="s">
        <v>408</v>
      </c>
      <c r="B111" s="140" t="s">
        <v>221</v>
      </c>
      <c r="C111" s="141" t="s">
        <v>222</v>
      </c>
      <c r="D111" s="171" t="s">
        <v>223</v>
      </c>
      <c r="E111" s="147"/>
      <c r="F111" s="147"/>
      <c r="G111" s="147"/>
      <c r="H111" s="147"/>
      <c r="I111" s="147"/>
      <c r="J111" s="143">
        <f>L111+O111</f>
        <v>0</v>
      </c>
      <c r="K111" s="143"/>
      <c r="L111" s="147"/>
      <c r="M111" s="147"/>
      <c r="N111" s="143"/>
      <c r="O111" s="143"/>
      <c r="P111" s="138">
        <f t="shared" si="14"/>
        <v>0</v>
      </c>
      <c r="R111" s="145"/>
      <c r="S111" s="73"/>
    </row>
    <row r="112" spans="1:19" s="7" customFormat="1" ht="31.5" hidden="1" customHeight="1" x14ac:dyDescent="0.25">
      <c r="A112" s="140" t="s">
        <v>409</v>
      </c>
      <c r="B112" s="140" t="s">
        <v>160</v>
      </c>
      <c r="C112" s="146" t="s">
        <v>161</v>
      </c>
      <c r="D112" s="154" t="s">
        <v>162</v>
      </c>
      <c r="E112" s="174"/>
      <c r="F112" s="174"/>
      <c r="G112" s="174"/>
      <c r="H112" s="174"/>
      <c r="I112" s="174"/>
      <c r="J112" s="161"/>
      <c r="K112" s="161"/>
      <c r="L112" s="174"/>
      <c r="M112" s="174"/>
      <c r="N112" s="161"/>
      <c r="O112" s="161"/>
      <c r="P112" s="138">
        <f t="shared" si="14"/>
        <v>0</v>
      </c>
      <c r="R112" s="145"/>
      <c r="S112" s="73"/>
    </row>
    <row r="113" spans="1:19" s="7" customFormat="1" ht="47.25" hidden="1" x14ac:dyDescent="0.25">
      <c r="A113" s="200">
        <v>1511171</v>
      </c>
      <c r="B113" s="201" t="s">
        <v>410</v>
      </c>
      <c r="C113" s="201" t="s">
        <v>242</v>
      </c>
      <c r="D113" s="202" t="s">
        <v>411</v>
      </c>
      <c r="E113" s="147">
        <f>F113+I113</f>
        <v>0</v>
      </c>
      <c r="F113" s="147"/>
      <c r="G113" s="147"/>
      <c r="H113" s="147"/>
      <c r="I113" s="147"/>
      <c r="J113" s="143">
        <f>L113+O113</f>
        <v>0</v>
      </c>
      <c r="K113" s="143"/>
      <c r="L113" s="147"/>
      <c r="M113" s="147"/>
      <c r="N113" s="143"/>
      <c r="O113" s="143"/>
      <c r="P113" s="143">
        <f t="shared" si="14"/>
        <v>0</v>
      </c>
      <c r="R113" s="145"/>
      <c r="S113" s="73"/>
    </row>
    <row r="114" spans="1:19" s="7" customFormat="1" hidden="1" x14ac:dyDescent="0.25">
      <c r="A114" s="140" t="s">
        <v>412</v>
      </c>
      <c r="B114" s="140" t="s">
        <v>356</v>
      </c>
      <c r="C114" s="141" t="s">
        <v>347</v>
      </c>
      <c r="D114" s="159" t="s">
        <v>357</v>
      </c>
      <c r="E114" s="147">
        <f>F114+I114</f>
        <v>0</v>
      </c>
      <c r="F114" s="147"/>
      <c r="G114" s="147"/>
      <c r="H114" s="147"/>
      <c r="I114" s="147"/>
      <c r="J114" s="143">
        <f>L114+O114</f>
        <v>0</v>
      </c>
      <c r="K114" s="143"/>
      <c r="L114" s="147"/>
      <c r="M114" s="147"/>
      <c r="N114" s="143"/>
      <c r="O114" s="143"/>
      <c r="P114" s="143">
        <f t="shared" si="14"/>
        <v>0</v>
      </c>
      <c r="R114" s="145">
        <f t="shared" si="18"/>
        <v>0</v>
      </c>
      <c r="S114" s="73">
        <f t="shared" si="17"/>
        <v>0</v>
      </c>
    </row>
    <row r="115" spans="1:19" s="7" customFormat="1" hidden="1" x14ac:dyDescent="0.25">
      <c r="A115" s="146" t="s">
        <v>413</v>
      </c>
      <c r="B115" s="146" t="s">
        <v>370</v>
      </c>
      <c r="C115" s="203" t="s">
        <v>371</v>
      </c>
      <c r="D115" s="154" t="s">
        <v>372</v>
      </c>
      <c r="E115" s="147">
        <f t="shared" ref="E115:E120" si="23">F115+I115</f>
        <v>0</v>
      </c>
      <c r="F115" s="147"/>
      <c r="G115" s="147"/>
      <c r="H115" s="147"/>
      <c r="I115" s="147"/>
      <c r="J115" s="143">
        <f>L115+O115</f>
        <v>0</v>
      </c>
      <c r="K115" s="143"/>
      <c r="L115" s="147"/>
      <c r="M115" s="147"/>
      <c r="N115" s="143"/>
      <c r="O115" s="143"/>
      <c r="P115" s="143">
        <f t="shared" si="14"/>
        <v>0</v>
      </c>
      <c r="R115" s="145">
        <f t="shared" si="18"/>
        <v>0</v>
      </c>
      <c r="S115" s="73"/>
    </row>
    <row r="116" spans="1:19" s="204" customFormat="1" ht="30.75" customHeight="1" x14ac:dyDescent="0.25">
      <c r="A116" s="136" t="s">
        <v>414</v>
      </c>
      <c r="B116" s="136" t="s">
        <v>415</v>
      </c>
      <c r="C116" s="137" t="s">
        <v>371</v>
      </c>
      <c r="D116" s="186" t="s">
        <v>416</v>
      </c>
      <c r="E116" s="169">
        <v>0</v>
      </c>
      <c r="F116" s="138"/>
      <c r="G116" s="138"/>
      <c r="H116" s="138"/>
      <c r="I116" s="138"/>
      <c r="J116" s="143">
        <f>L116+O116</f>
        <v>-350043</v>
      </c>
      <c r="K116" s="143">
        <f>O116</f>
        <v>-350043</v>
      </c>
      <c r="L116" s="138"/>
      <c r="M116" s="138"/>
      <c r="N116" s="138"/>
      <c r="O116" s="169">
        <v>-350043</v>
      </c>
      <c r="P116" s="138">
        <f t="shared" si="14"/>
        <v>-350043</v>
      </c>
      <c r="R116" s="134">
        <v>0</v>
      </c>
      <c r="S116" s="135">
        <v>0</v>
      </c>
    </row>
    <row r="117" spans="1:19" s="177" customFormat="1" ht="36" hidden="1" customHeight="1" x14ac:dyDescent="0.25">
      <c r="A117" s="140" t="s">
        <v>417</v>
      </c>
      <c r="B117" s="140" t="s">
        <v>418</v>
      </c>
      <c r="C117" s="141" t="s">
        <v>371</v>
      </c>
      <c r="D117" s="156" t="s">
        <v>419</v>
      </c>
      <c r="E117" s="147">
        <f t="shared" si="23"/>
        <v>0</v>
      </c>
      <c r="F117" s="143"/>
      <c r="G117" s="143"/>
      <c r="H117" s="143"/>
      <c r="I117" s="143"/>
      <c r="J117" s="143">
        <f t="shared" ref="J117:J124" si="24">L117+O117</f>
        <v>0</v>
      </c>
      <c r="K117" s="143">
        <f>O117</f>
        <v>0</v>
      </c>
      <c r="L117" s="143"/>
      <c r="M117" s="143"/>
      <c r="N117" s="143"/>
      <c r="O117" s="147"/>
      <c r="P117" s="143">
        <f t="shared" si="14"/>
        <v>0</v>
      </c>
      <c r="R117" s="145">
        <f t="shared" si="18"/>
        <v>0</v>
      </c>
      <c r="S117" s="73">
        <f t="shared" si="17"/>
        <v>0</v>
      </c>
    </row>
    <row r="118" spans="1:19" s="204" customFormat="1" ht="35.25" hidden="1" customHeight="1" x14ac:dyDescent="0.25">
      <c r="A118" s="136" t="s">
        <v>420</v>
      </c>
      <c r="B118" s="136" t="s">
        <v>421</v>
      </c>
      <c r="C118" s="137" t="s">
        <v>371</v>
      </c>
      <c r="D118" s="182" t="s">
        <v>422</v>
      </c>
      <c r="E118" s="169">
        <f t="shared" si="23"/>
        <v>0</v>
      </c>
      <c r="F118" s="138"/>
      <c r="G118" s="138"/>
      <c r="H118" s="138"/>
      <c r="I118" s="138"/>
      <c r="J118" s="138">
        <f t="shared" si="24"/>
        <v>0</v>
      </c>
      <c r="K118" s="169"/>
      <c r="L118" s="138"/>
      <c r="M118" s="138"/>
      <c r="N118" s="138"/>
      <c r="O118" s="169"/>
      <c r="P118" s="138">
        <f t="shared" si="14"/>
        <v>0</v>
      </c>
      <c r="R118" s="134">
        <f t="shared" si="18"/>
        <v>0</v>
      </c>
      <c r="S118" s="135">
        <f t="shared" si="17"/>
        <v>0</v>
      </c>
    </row>
    <row r="119" spans="1:19" s="204" customFormat="1" ht="43.5" hidden="1" customHeight="1" x14ac:dyDescent="0.25">
      <c r="A119" s="136" t="s">
        <v>423</v>
      </c>
      <c r="B119" s="136" t="s">
        <v>424</v>
      </c>
      <c r="C119" s="137" t="s">
        <v>371</v>
      </c>
      <c r="D119" s="182" t="s">
        <v>425</v>
      </c>
      <c r="E119" s="169">
        <f t="shared" si="23"/>
        <v>0</v>
      </c>
      <c r="F119" s="138"/>
      <c r="G119" s="138"/>
      <c r="H119" s="138"/>
      <c r="I119" s="138"/>
      <c r="J119" s="138">
        <f t="shared" si="24"/>
        <v>0</v>
      </c>
      <c r="K119" s="138"/>
      <c r="L119" s="138"/>
      <c r="M119" s="138"/>
      <c r="N119" s="138"/>
      <c r="O119" s="169"/>
      <c r="P119" s="138">
        <f t="shared" si="14"/>
        <v>0</v>
      </c>
      <c r="R119" s="134">
        <f t="shared" si="18"/>
        <v>0</v>
      </c>
      <c r="S119" s="135">
        <f t="shared" si="17"/>
        <v>0</v>
      </c>
    </row>
    <row r="120" spans="1:19" ht="36.75" customHeight="1" x14ac:dyDescent="0.25">
      <c r="A120" s="136" t="s">
        <v>426</v>
      </c>
      <c r="B120" s="137" t="s">
        <v>374</v>
      </c>
      <c r="C120" s="137" t="s">
        <v>371</v>
      </c>
      <c r="D120" s="205" t="s">
        <v>427</v>
      </c>
      <c r="E120" s="169">
        <f t="shared" si="23"/>
        <v>0</v>
      </c>
      <c r="F120" s="138"/>
      <c r="G120" s="138"/>
      <c r="H120" s="138"/>
      <c r="I120" s="138"/>
      <c r="J120" s="138">
        <f t="shared" si="24"/>
        <v>350043</v>
      </c>
      <c r="K120" s="138">
        <f>O120</f>
        <v>350043</v>
      </c>
      <c r="L120" s="138"/>
      <c r="M120" s="138"/>
      <c r="N120" s="138"/>
      <c r="O120" s="169">
        <v>350043</v>
      </c>
      <c r="P120" s="138">
        <f>E120+J120</f>
        <v>350043</v>
      </c>
      <c r="R120" s="134">
        <f t="shared" si="18"/>
        <v>0</v>
      </c>
      <c r="S120" s="135">
        <f>O120-K120</f>
        <v>0</v>
      </c>
    </row>
    <row r="121" spans="1:19" ht="36.75" hidden="1" customHeight="1" x14ac:dyDescent="0.25">
      <c r="A121" s="136" t="s">
        <v>428</v>
      </c>
      <c r="B121" s="192" t="s">
        <v>429</v>
      </c>
      <c r="C121" s="206" t="s">
        <v>371</v>
      </c>
      <c r="D121" s="205" t="s">
        <v>430</v>
      </c>
      <c r="E121" s="169">
        <f>F121+I121</f>
        <v>0</v>
      </c>
      <c r="F121" s="138"/>
      <c r="G121" s="138"/>
      <c r="H121" s="138"/>
      <c r="I121" s="138"/>
      <c r="J121" s="138">
        <f t="shared" si="24"/>
        <v>0</v>
      </c>
      <c r="K121" s="138"/>
      <c r="L121" s="138"/>
      <c r="M121" s="138"/>
      <c r="N121" s="138"/>
      <c r="O121" s="169"/>
      <c r="P121" s="138">
        <f>E121+J121</f>
        <v>0</v>
      </c>
      <c r="R121" s="134"/>
      <c r="S121" s="135"/>
    </row>
    <row r="122" spans="1:19" ht="36.75" hidden="1" customHeight="1" x14ac:dyDescent="0.25">
      <c r="A122" s="140" t="s">
        <v>431</v>
      </c>
      <c r="B122" s="207" t="s">
        <v>432</v>
      </c>
      <c r="C122" s="208" t="s">
        <v>381</v>
      </c>
      <c r="D122" s="209" t="s">
        <v>433</v>
      </c>
      <c r="E122" s="138">
        <f>F122+I122</f>
        <v>0</v>
      </c>
      <c r="F122" s="169"/>
      <c r="G122" s="169"/>
      <c r="H122" s="169"/>
      <c r="I122" s="169"/>
      <c r="J122" s="169">
        <f>L122+O122</f>
        <v>0</v>
      </c>
      <c r="K122" s="138"/>
      <c r="L122" s="169"/>
      <c r="M122" s="169"/>
      <c r="N122" s="169"/>
      <c r="O122" s="169"/>
      <c r="P122" s="138">
        <f>E122+J122</f>
        <v>0</v>
      </c>
      <c r="R122" s="134"/>
      <c r="S122" s="135"/>
    </row>
    <row r="123" spans="1:19" ht="36.75" customHeight="1" x14ac:dyDescent="0.25">
      <c r="A123" s="136" t="s">
        <v>434</v>
      </c>
      <c r="B123" s="136" t="s">
        <v>380</v>
      </c>
      <c r="C123" s="191" t="s">
        <v>381</v>
      </c>
      <c r="D123" s="32" t="s">
        <v>382</v>
      </c>
      <c r="E123" s="138">
        <f>F123+I123</f>
        <v>0</v>
      </c>
      <c r="F123" s="169"/>
      <c r="G123" s="169"/>
      <c r="H123" s="169"/>
      <c r="I123" s="169"/>
      <c r="J123" s="169">
        <f t="shared" si="24"/>
        <v>-4000000</v>
      </c>
      <c r="K123" s="138">
        <v>-4000000</v>
      </c>
      <c r="L123" s="169"/>
      <c r="M123" s="169"/>
      <c r="N123" s="169"/>
      <c r="O123" s="169">
        <v>-4000000</v>
      </c>
      <c r="P123" s="138">
        <f>E123+J123</f>
        <v>-4000000</v>
      </c>
      <c r="R123" s="134"/>
      <c r="S123" s="135"/>
    </row>
    <row r="124" spans="1:19" ht="49.5" hidden="1" customHeight="1" x14ac:dyDescent="0.25">
      <c r="A124" s="136" t="s">
        <v>435</v>
      </c>
      <c r="B124" s="136" t="s">
        <v>436</v>
      </c>
      <c r="C124" s="191" t="s">
        <v>381</v>
      </c>
      <c r="D124" s="32" t="s">
        <v>437</v>
      </c>
      <c r="E124" s="138">
        <f>F124+I124</f>
        <v>0</v>
      </c>
      <c r="F124" s="169"/>
      <c r="G124" s="169"/>
      <c r="H124" s="169"/>
      <c r="I124" s="169"/>
      <c r="J124" s="169">
        <f t="shared" si="24"/>
        <v>0</v>
      </c>
      <c r="K124" s="138"/>
      <c r="L124" s="169"/>
      <c r="M124" s="169"/>
      <c r="N124" s="169"/>
      <c r="O124" s="138"/>
      <c r="P124" s="138">
        <f>E124+J124</f>
        <v>0</v>
      </c>
      <c r="R124" s="134"/>
      <c r="S124" s="135"/>
    </row>
    <row r="125" spans="1:19" s="124" customFormat="1" ht="59.25" hidden="1" customHeight="1" x14ac:dyDescent="0.25">
      <c r="A125" s="129" t="s">
        <v>684</v>
      </c>
      <c r="B125" s="129" t="s">
        <v>685</v>
      </c>
      <c r="C125" s="130"/>
      <c r="D125" s="131" t="s">
        <v>686</v>
      </c>
      <c r="E125" s="132">
        <f>E126</f>
        <v>0</v>
      </c>
      <c r="F125" s="132">
        <f t="shared" ref="F125:O126" si="25">F126</f>
        <v>0</v>
      </c>
      <c r="G125" s="132">
        <f t="shared" si="25"/>
        <v>0</v>
      </c>
      <c r="H125" s="132">
        <f t="shared" si="25"/>
        <v>0</v>
      </c>
      <c r="I125" s="132">
        <f t="shared" si="25"/>
        <v>0</v>
      </c>
      <c r="J125" s="132">
        <f t="shared" si="25"/>
        <v>0</v>
      </c>
      <c r="K125" s="132"/>
      <c r="L125" s="132"/>
      <c r="M125" s="132">
        <f t="shared" si="25"/>
        <v>0</v>
      </c>
      <c r="N125" s="132">
        <f t="shared" si="25"/>
        <v>0</v>
      </c>
      <c r="O125" s="132">
        <f t="shared" si="25"/>
        <v>0</v>
      </c>
      <c r="P125" s="132">
        <f t="shared" si="14"/>
        <v>0</v>
      </c>
      <c r="R125" s="134">
        <f t="shared" si="18"/>
        <v>0</v>
      </c>
      <c r="S125" s="135">
        <f t="shared" si="17"/>
        <v>0</v>
      </c>
    </row>
    <row r="126" spans="1:19" s="124" customFormat="1" ht="49.5" hidden="1" customHeight="1" outlineLevel="1" x14ac:dyDescent="0.25">
      <c r="A126" s="129" t="s">
        <v>687</v>
      </c>
      <c r="B126" s="129"/>
      <c r="C126" s="130"/>
      <c r="D126" s="131" t="s">
        <v>688</v>
      </c>
      <c r="E126" s="132">
        <f>F126+I126</f>
        <v>0</v>
      </c>
      <c r="F126" s="132">
        <f>F127</f>
        <v>0</v>
      </c>
      <c r="G126" s="132">
        <f t="shared" si="25"/>
        <v>0</v>
      </c>
      <c r="H126" s="132">
        <f t="shared" si="25"/>
        <v>0</v>
      </c>
      <c r="I126" s="132">
        <f t="shared" si="25"/>
        <v>0</v>
      </c>
      <c r="J126" s="132"/>
      <c r="K126" s="132"/>
      <c r="L126" s="132"/>
      <c r="M126" s="132">
        <f>SUM(M127:M135)</f>
        <v>0</v>
      </c>
      <c r="N126" s="132">
        <f>SUM(N127:N135)</f>
        <v>0</v>
      </c>
      <c r="O126" s="132"/>
      <c r="P126" s="132">
        <f t="shared" si="14"/>
        <v>0</v>
      </c>
      <c r="R126" s="134">
        <f t="shared" si="18"/>
        <v>0</v>
      </c>
      <c r="S126" s="135">
        <f t="shared" si="17"/>
        <v>0</v>
      </c>
    </row>
    <row r="127" spans="1:19" ht="70.5" hidden="1" customHeight="1" x14ac:dyDescent="0.25">
      <c r="A127" s="136" t="s">
        <v>689</v>
      </c>
      <c r="B127" s="136" t="s">
        <v>147</v>
      </c>
      <c r="C127" s="137" t="s">
        <v>148</v>
      </c>
      <c r="D127" s="32" t="s">
        <v>149</v>
      </c>
      <c r="E127" s="169">
        <f>F127+I127</f>
        <v>0</v>
      </c>
      <c r="F127" s="169"/>
      <c r="G127" s="169"/>
      <c r="H127" s="169"/>
      <c r="I127" s="169"/>
      <c r="J127" s="169">
        <f>L127+O127</f>
        <v>0</v>
      </c>
      <c r="K127" s="169"/>
      <c r="L127" s="169"/>
      <c r="M127" s="169"/>
      <c r="N127" s="169"/>
      <c r="O127" s="169"/>
      <c r="P127" s="138">
        <f>E127+J127</f>
        <v>0</v>
      </c>
      <c r="R127" s="134">
        <f t="shared" si="18"/>
        <v>0</v>
      </c>
      <c r="S127" s="135">
        <f t="shared" si="17"/>
        <v>0</v>
      </c>
    </row>
    <row r="128" spans="1:19" s="214" customFormat="1" ht="41.25" customHeight="1" x14ac:dyDescent="0.25">
      <c r="A128" s="210" t="s">
        <v>438</v>
      </c>
      <c r="B128" s="210" t="s">
        <v>439</v>
      </c>
      <c r="C128" s="211"/>
      <c r="D128" s="212" t="s">
        <v>440</v>
      </c>
      <c r="E128" s="213">
        <f>E129</f>
        <v>9.9999999999999995E-7</v>
      </c>
      <c r="F128" s="213">
        <f t="shared" ref="F128:O128" si="26">F129</f>
        <v>0</v>
      </c>
      <c r="G128" s="213">
        <f t="shared" si="26"/>
        <v>0</v>
      </c>
      <c r="H128" s="213">
        <f t="shared" si="26"/>
        <v>4500</v>
      </c>
      <c r="I128" s="213">
        <f t="shared" si="26"/>
        <v>0</v>
      </c>
      <c r="J128" s="213">
        <f t="shared" si="26"/>
        <v>0</v>
      </c>
      <c r="K128" s="213">
        <f t="shared" si="26"/>
        <v>0</v>
      </c>
      <c r="L128" s="213">
        <f t="shared" si="26"/>
        <v>0</v>
      </c>
      <c r="M128" s="213">
        <f t="shared" si="26"/>
        <v>0</v>
      </c>
      <c r="N128" s="213">
        <f t="shared" si="26"/>
        <v>0</v>
      </c>
      <c r="O128" s="213">
        <f t="shared" si="26"/>
        <v>0</v>
      </c>
      <c r="P128" s="213">
        <f t="shared" ref="P128:P136" si="27">E128+J128</f>
        <v>9.9999999999999995E-7</v>
      </c>
      <c r="R128" s="145">
        <f t="shared" si="18"/>
        <v>0</v>
      </c>
      <c r="S128" s="73">
        <f>160600+415500</f>
        <v>576100</v>
      </c>
    </row>
    <row r="129" spans="1:19" s="214" customFormat="1" ht="40.5" customHeight="1" x14ac:dyDescent="0.25">
      <c r="A129" s="210" t="s">
        <v>441</v>
      </c>
      <c r="B129" s="210"/>
      <c r="C129" s="211"/>
      <c r="D129" s="212" t="s">
        <v>442</v>
      </c>
      <c r="E129" s="213">
        <f>SUM(E130:E135)</f>
        <v>9.9999999999999995E-7</v>
      </c>
      <c r="F129" s="213">
        <f t="shared" ref="F129:P129" si="28">SUM(F130:F135)</f>
        <v>0</v>
      </c>
      <c r="G129" s="213">
        <f t="shared" si="28"/>
        <v>0</v>
      </c>
      <c r="H129" s="213">
        <f t="shared" si="28"/>
        <v>4500</v>
      </c>
      <c r="I129" s="213">
        <f t="shared" si="28"/>
        <v>0</v>
      </c>
      <c r="J129" s="213">
        <f t="shared" si="28"/>
        <v>0</v>
      </c>
      <c r="K129" s="213">
        <f t="shared" si="28"/>
        <v>0</v>
      </c>
      <c r="L129" s="213">
        <f t="shared" si="28"/>
        <v>0</v>
      </c>
      <c r="M129" s="213">
        <f t="shared" si="28"/>
        <v>0</v>
      </c>
      <c r="N129" s="213">
        <f t="shared" si="28"/>
        <v>0</v>
      </c>
      <c r="O129" s="213">
        <f t="shared" si="28"/>
        <v>0</v>
      </c>
      <c r="P129" s="213">
        <f t="shared" si="28"/>
        <v>1.01E-4</v>
      </c>
      <c r="R129" s="145">
        <f t="shared" si="18"/>
        <v>0</v>
      </c>
      <c r="S129" s="73">
        <f>S137-S130</f>
        <v>-942500</v>
      </c>
    </row>
    <row r="130" spans="1:19" s="7" customFormat="1" ht="53.25" customHeight="1" x14ac:dyDescent="0.25">
      <c r="A130" s="140" t="s">
        <v>443</v>
      </c>
      <c r="B130" s="140" t="s">
        <v>147</v>
      </c>
      <c r="C130" s="141" t="s">
        <v>148</v>
      </c>
      <c r="D130" s="215" t="s">
        <v>149</v>
      </c>
      <c r="E130" s="147">
        <f>F130+I130+0.000001</f>
        <v>9.9999999999999995E-7</v>
      </c>
      <c r="F130" s="147"/>
      <c r="G130" s="147"/>
      <c r="H130" s="147">
        <v>4500</v>
      </c>
      <c r="I130" s="147"/>
      <c r="J130" s="143">
        <f>L130+O130</f>
        <v>0</v>
      </c>
      <c r="K130" s="143"/>
      <c r="L130" s="143"/>
      <c r="M130" s="143"/>
      <c r="N130" s="143"/>
      <c r="O130" s="143"/>
      <c r="P130" s="143">
        <f>E130+J130+0.0001</f>
        <v>1.01E-4</v>
      </c>
      <c r="R130" s="145">
        <f t="shared" si="18"/>
        <v>0</v>
      </c>
      <c r="S130" s="73">
        <f>925000+17500</f>
        <v>942500</v>
      </c>
    </row>
    <row r="131" spans="1:19" s="7" customFormat="1" ht="122.25" hidden="1" customHeight="1" x14ac:dyDescent="0.25">
      <c r="A131" s="140" t="s">
        <v>444</v>
      </c>
      <c r="B131" s="140" t="s">
        <v>195</v>
      </c>
      <c r="C131" s="146" t="s">
        <v>185</v>
      </c>
      <c r="D131" s="166" t="s">
        <v>196</v>
      </c>
      <c r="E131" s="147">
        <f t="shared" ref="E131:E136" si="29">F131+I131</f>
        <v>0</v>
      </c>
      <c r="F131" s="147"/>
      <c r="G131" s="147"/>
      <c r="H131" s="147"/>
      <c r="I131" s="147"/>
      <c r="J131" s="143">
        <f>L131+O131</f>
        <v>0</v>
      </c>
      <c r="K131" s="147"/>
      <c r="L131" s="147"/>
      <c r="M131" s="147"/>
      <c r="N131" s="147"/>
      <c r="O131" s="147"/>
      <c r="P131" s="143">
        <f>E131+J131</f>
        <v>0</v>
      </c>
      <c r="R131" s="145">
        <f t="shared" si="18"/>
        <v>0</v>
      </c>
      <c r="S131" s="73">
        <f>O131-K131</f>
        <v>0</v>
      </c>
    </row>
    <row r="132" spans="1:19" s="7" customFormat="1" ht="22.5" hidden="1" customHeight="1" x14ac:dyDescent="0.25">
      <c r="A132" s="136" t="s">
        <v>445</v>
      </c>
      <c r="B132" s="136" t="s">
        <v>446</v>
      </c>
      <c r="C132" s="192" t="s">
        <v>447</v>
      </c>
      <c r="D132" s="170" t="s">
        <v>448</v>
      </c>
      <c r="E132" s="198">
        <f t="shared" si="29"/>
        <v>0</v>
      </c>
      <c r="F132" s="198"/>
      <c r="G132" s="198"/>
      <c r="H132" s="198"/>
      <c r="I132" s="198"/>
      <c r="J132" s="199">
        <f>L132+O132</f>
        <v>0</v>
      </c>
      <c r="K132" s="199"/>
      <c r="L132" s="199"/>
      <c r="M132" s="199"/>
      <c r="N132" s="199"/>
      <c r="O132" s="199"/>
      <c r="P132" s="199">
        <f t="shared" si="27"/>
        <v>0</v>
      </c>
      <c r="R132" s="145">
        <f t="shared" si="18"/>
        <v>0</v>
      </c>
      <c r="S132" s="73">
        <f t="shared" si="17"/>
        <v>0</v>
      </c>
    </row>
    <row r="133" spans="1:19" s="7" customFormat="1" hidden="1" x14ac:dyDescent="0.25">
      <c r="A133" s="140" t="s">
        <v>449</v>
      </c>
      <c r="B133" s="140" t="s">
        <v>450</v>
      </c>
      <c r="C133" s="141" t="s">
        <v>152</v>
      </c>
      <c r="D133" s="171" t="s">
        <v>451</v>
      </c>
      <c r="E133" s="174">
        <f t="shared" si="29"/>
        <v>0</v>
      </c>
      <c r="F133" s="174"/>
      <c r="G133" s="161"/>
      <c r="H133" s="161"/>
      <c r="I133" s="161"/>
      <c r="J133" s="161"/>
      <c r="K133" s="161">
        <v>0</v>
      </c>
      <c r="L133" s="161"/>
      <c r="M133" s="161"/>
      <c r="N133" s="161"/>
      <c r="O133" s="161"/>
      <c r="P133" s="161">
        <f t="shared" si="27"/>
        <v>0</v>
      </c>
      <c r="R133" s="145">
        <f t="shared" si="18"/>
        <v>0</v>
      </c>
      <c r="S133" s="73">
        <f t="shared" si="17"/>
        <v>0</v>
      </c>
    </row>
    <row r="134" spans="1:19" s="7" customFormat="1" hidden="1" x14ac:dyDescent="0.25">
      <c r="A134" s="140" t="s">
        <v>452</v>
      </c>
      <c r="B134" s="140" t="s">
        <v>453</v>
      </c>
      <c r="C134" s="141" t="s">
        <v>151</v>
      </c>
      <c r="D134" s="171" t="s">
        <v>454</v>
      </c>
      <c r="E134" s="174">
        <f t="shared" si="29"/>
        <v>0</v>
      </c>
      <c r="F134" s="161"/>
      <c r="G134" s="216"/>
      <c r="H134" s="216"/>
      <c r="I134" s="216"/>
      <c r="J134" s="161">
        <f>L134+O134</f>
        <v>0</v>
      </c>
      <c r="K134" s="216"/>
      <c r="L134" s="216"/>
      <c r="M134" s="216"/>
      <c r="N134" s="216"/>
      <c r="O134" s="216"/>
      <c r="P134" s="161">
        <f>E134+J134</f>
        <v>0</v>
      </c>
      <c r="R134" s="145">
        <f>K134-O134</f>
        <v>0</v>
      </c>
      <c r="S134" s="73">
        <f>O134-K134</f>
        <v>0</v>
      </c>
    </row>
    <row r="135" spans="1:19" s="7" customFormat="1" hidden="1" x14ac:dyDescent="0.25">
      <c r="A135" s="140" t="s">
        <v>455</v>
      </c>
      <c r="B135" s="140" t="s">
        <v>456</v>
      </c>
      <c r="C135" s="141" t="s">
        <v>151</v>
      </c>
      <c r="D135" s="171" t="s">
        <v>108</v>
      </c>
      <c r="E135" s="413">
        <f t="shared" si="29"/>
        <v>0</v>
      </c>
      <c r="F135" s="143"/>
      <c r="G135" s="217"/>
      <c r="H135" s="217"/>
      <c r="I135" s="217"/>
      <c r="J135" s="143">
        <f>L135+O135</f>
        <v>0</v>
      </c>
      <c r="K135" s="217"/>
      <c r="L135" s="217"/>
      <c r="M135" s="217"/>
      <c r="N135" s="217"/>
      <c r="O135" s="217"/>
      <c r="P135" s="143">
        <f t="shared" si="27"/>
        <v>0</v>
      </c>
      <c r="R135" s="145">
        <f t="shared" si="18"/>
        <v>0</v>
      </c>
      <c r="S135" s="73">
        <f t="shared" si="17"/>
        <v>0</v>
      </c>
    </row>
    <row r="136" spans="1:19" s="7" customFormat="1" ht="173.25" hidden="1" x14ac:dyDescent="0.25">
      <c r="A136" s="140"/>
      <c r="B136" s="140"/>
      <c r="C136" s="141"/>
      <c r="D136" s="559" t="s">
        <v>825</v>
      </c>
      <c r="E136" s="413">
        <f t="shared" si="29"/>
        <v>0</v>
      </c>
      <c r="F136" s="426"/>
      <c r="G136" s="219"/>
      <c r="H136" s="219"/>
      <c r="I136" s="219"/>
      <c r="J136" s="143">
        <f>L136+O136</f>
        <v>0</v>
      </c>
      <c r="K136" s="219"/>
      <c r="L136" s="219"/>
      <c r="M136" s="219"/>
      <c r="N136" s="219"/>
      <c r="O136" s="219"/>
      <c r="P136" s="143">
        <f t="shared" si="27"/>
        <v>0</v>
      </c>
      <c r="R136" s="145"/>
      <c r="S136" s="73"/>
    </row>
    <row r="137" spans="1:19" s="124" customFormat="1" ht="21" customHeight="1" x14ac:dyDescent="0.25">
      <c r="A137" s="220"/>
      <c r="B137" s="220"/>
      <c r="C137" s="220"/>
      <c r="D137" s="221" t="s">
        <v>457</v>
      </c>
      <c r="E137" s="222">
        <f>E12+E33+E70+E83+E108+E128+E125+0.0000001</f>
        <v>-8232676.9998979</v>
      </c>
      <c r="F137" s="222">
        <f t="shared" ref="F137:O137" si="30">F12+F33+F70+F83+F108+F128+F125+0.0000001</f>
        <v>-4497289.9998989003</v>
      </c>
      <c r="G137" s="222">
        <f t="shared" si="30"/>
        <v>163440.0000001</v>
      </c>
      <c r="H137" s="222">
        <f t="shared" si="30"/>
        <v>361210.0000001</v>
      </c>
      <c r="I137" s="222">
        <f t="shared" si="30"/>
        <v>-3735386.9999998999</v>
      </c>
      <c r="J137" s="222">
        <f t="shared" si="30"/>
        <v>8232677.0001000995</v>
      </c>
      <c r="K137" s="222">
        <f t="shared" si="30"/>
        <v>8232677.0001101</v>
      </c>
      <c r="L137" s="222">
        <f t="shared" si="30"/>
        <v>9.9999999999999995E-8</v>
      </c>
      <c r="M137" s="222">
        <f t="shared" si="30"/>
        <v>9.9999999999999995E-8</v>
      </c>
      <c r="N137" s="222">
        <f t="shared" si="30"/>
        <v>9.9999999999999995E-8</v>
      </c>
      <c r="O137" s="222">
        <f t="shared" si="30"/>
        <v>8232677.0001101</v>
      </c>
      <c r="P137" s="222">
        <f>P12+P33+P70+P83+P108+P128+P125+0.00001</f>
        <v>2.3300075909495353E-4</v>
      </c>
      <c r="Q137" s="230">
        <f>P137-'dod 2'!Q135</f>
        <v>2.4299943825602531E-4</v>
      </c>
      <c r="R137" s="134">
        <f t="shared" si="18"/>
        <v>0</v>
      </c>
      <c r="S137" s="135">
        <f t="shared" si="17"/>
        <v>0</v>
      </c>
    </row>
    <row r="138" spans="1:19" s="8" customFormat="1" ht="18" hidden="1" customHeight="1" x14ac:dyDescent="0.25">
      <c r="A138" s="223"/>
      <c r="B138" s="223"/>
      <c r="C138" s="224"/>
      <c r="D138" s="225"/>
      <c r="E138" s="226"/>
      <c r="F138" s="227"/>
      <c r="G138" s="227"/>
      <c r="H138" s="228"/>
      <c r="I138" s="227"/>
      <c r="J138" s="229"/>
      <c r="K138" s="228"/>
      <c r="L138" s="228"/>
      <c r="M138" s="228"/>
      <c r="N138" s="227"/>
      <c r="O138" s="227"/>
      <c r="P138" s="227"/>
      <c r="S138" s="73">
        <f t="shared" si="17"/>
        <v>0</v>
      </c>
    </row>
    <row r="139" spans="1:19" ht="10.5" customHeight="1" x14ac:dyDescent="0.25"/>
    <row r="140" spans="1:19" x14ac:dyDescent="0.25">
      <c r="E140" s="230"/>
      <c r="J140" s="230"/>
      <c r="K140" s="231"/>
      <c r="N140" s="135"/>
      <c r="P140" s="231"/>
      <c r="Q140" s="231"/>
    </row>
    <row r="141" spans="1:19" x14ac:dyDescent="0.25">
      <c r="E141" s="230"/>
      <c r="F141" s="231"/>
      <c r="H141" s="231"/>
      <c r="J141" s="230"/>
      <c r="K141" s="231"/>
      <c r="P141" s="231"/>
    </row>
    <row r="142" spans="1:19" s="8" customFormat="1" ht="35.25" customHeight="1" x14ac:dyDescent="0.25">
      <c r="A142" s="232"/>
      <c r="B142" s="232"/>
      <c r="D142" s="72" t="s">
        <v>727</v>
      </c>
      <c r="E142" s="60"/>
      <c r="I142" s="73"/>
      <c r="J142" s="233"/>
      <c r="K142" s="73" t="s">
        <v>728</v>
      </c>
      <c r="L142" s="73"/>
      <c r="N142" s="73"/>
      <c r="P142" s="73"/>
      <c r="S142" s="73" t="e">
        <f>O142-K142</f>
        <v>#VALUE!</v>
      </c>
    </row>
    <row r="143" spans="1:19" x14ac:dyDescent="0.25">
      <c r="E143" s="230"/>
      <c r="H143" s="231"/>
      <c r="J143" s="230"/>
      <c r="L143" s="135"/>
      <c r="P143" s="231"/>
    </row>
    <row r="144" spans="1:19" hidden="1" x14ac:dyDescent="0.25">
      <c r="E144" s="230"/>
      <c r="F144" s="231"/>
      <c r="J144" s="234"/>
      <c r="L144" s="135"/>
      <c r="P144" s="231"/>
    </row>
    <row r="145" spans="5:16" hidden="1" x14ac:dyDescent="0.25">
      <c r="E145" s="411">
        <v>4776696</v>
      </c>
      <c r="F145" s="411">
        <v>80000</v>
      </c>
      <c r="G145" s="411">
        <v>0</v>
      </c>
      <c r="H145" s="411">
        <v>726809</v>
      </c>
      <c r="I145" s="411">
        <v>4696696</v>
      </c>
      <c r="J145" s="411">
        <v>-4776696</v>
      </c>
      <c r="K145" s="411">
        <v>-4776696</v>
      </c>
      <c r="L145" s="411">
        <v>0</v>
      </c>
      <c r="M145" s="411">
        <v>0</v>
      </c>
      <c r="N145" s="411">
        <v>0</v>
      </c>
      <c r="O145" s="411">
        <v>-4776696</v>
      </c>
      <c r="P145" s="411">
        <v>0</v>
      </c>
    </row>
    <row r="146" spans="5:16" hidden="1" x14ac:dyDescent="0.25">
      <c r="E146" s="234">
        <f>E137-E145</f>
        <v>-13009372.999897901</v>
      </c>
      <c r="F146" s="234">
        <f t="shared" ref="F146:P146" si="31">F137-F145</f>
        <v>-4577289.9998989003</v>
      </c>
      <c r="G146" s="234">
        <f t="shared" si="31"/>
        <v>163440.0000001</v>
      </c>
      <c r="H146" s="234">
        <f t="shared" si="31"/>
        <v>-365598.9999999</v>
      </c>
      <c r="I146" s="234">
        <f t="shared" si="31"/>
        <v>-8432082.9999998994</v>
      </c>
      <c r="J146" s="234">
        <f t="shared" si="31"/>
        <v>13009373.000100099</v>
      </c>
      <c r="K146" s="234">
        <f t="shared" si="31"/>
        <v>13009373.000110101</v>
      </c>
      <c r="L146" s="234">
        <f t="shared" si="31"/>
        <v>9.9999999999999995E-8</v>
      </c>
      <c r="M146" s="234">
        <f t="shared" si="31"/>
        <v>9.9999999999999995E-8</v>
      </c>
      <c r="N146" s="234">
        <f t="shared" si="31"/>
        <v>9.9999999999999995E-8</v>
      </c>
      <c r="O146" s="234">
        <f t="shared" si="31"/>
        <v>13009373.000110101</v>
      </c>
      <c r="P146" s="234">
        <f t="shared" si="31"/>
        <v>2.3300075909495353E-4</v>
      </c>
    </row>
    <row r="147" spans="5:16" x14ac:dyDescent="0.25">
      <c r="E147" s="234"/>
    </row>
    <row r="148" spans="5:16" x14ac:dyDescent="0.25">
      <c r="E148" s="230"/>
    </row>
  </sheetData>
  <autoFilter ref="A11:S138" xr:uid="{00000000-0009-0000-0000-000004000000}">
    <filterColumn colId="15">
      <customFilters>
        <customFilter operator="notEqual" val=" "/>
      </customFilters>
    </filterColumn>
  </autoFilter>
  <mergeCells count="25">
    <mergeCell ref="J7:O7"/>
    <mergeCell ref="P7:P10"/>
    <mergeCell ref="E8:E10"/>
    <mergeCell ref="F8:F10"/>
    <mergeCell ref="G8:H8"/>
    <mergeCell ref="I8:I10"/>
    <mergeCell ref="J8:J10"/>
    <mergeCell ref="K8:K10"/>
    <mergeCell ref="L8:L10"/>
    <mergeCell ref="M8:N8"/>
    <mergeCell ref="O8:O10"/>
    <mergeCell ref="G9:G10"/>
    <mergeCell ref="H9:H10"/>
    <mergeCell ref="M9:M10"/>
    <mergeCell ref="N9:N10"/>
    <mergeCell ref="K1:P1"/>
    <mergeCell ref="L2:P2"/>
    <mergeCell ref="A3:P3"/>
    <mergeCell ref="A4:P4"/>
    <mergeCell ref="D5:E5"/>
    <mergeCell ref="A7:A10"/>
    <mergeCell ref="B7:B10"/>
    <mergeCell ref="C7:C10"/>
    <mergeCell ref="D7:D10"/>
    <mergeCell ref="E7:I7"/>
  </mergeCells>
  <pageMargins left="0.23622047244094491" right="0.19685039370078741" top="0.86614173228346458" bottom="0.47244094488188981" header="0.23622047244094491" footer="0.27559055118110237"/>
  <pageSetup paperSize="9" scale="39" fitToHeight="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27"/>
  <sheetViews>
    <sheetView view="pageBreakPreview" zoomScaleNormal="100" zoomScaleSheetLayoutView="100" workbookViewId="0">
      <selection activeCell="E25" sqref="E25:E26"/>
    </sheetView>
  </sheetViews>
  <sheetFormatPr defaultRowHeight="12.75" x14ac:dyDescent="0.2"/>
  <cols>
    <col min="1" max="1" width="9.140625" style="266"/>
    <col min="2" max="3" width="20.7109375" style="266" customWidth="1"/>
    <col min="4" max="4" width="28.42578125" style="266" customWidth="1"/>
    <col min="5" max="5" width="20.7109375" style="266" customWidth="1"/>
    <col min="6" max="257" width="9.140625" style="266"/>
    <col min="258" max="259" width="20.7109375" style="266" customWidth="1"/>
    <col min="260" max="260" width="28.42578125" style="266" customWidth="1"/>
    <col min="261" max="261" width="20.7109375" style="266" customWidth="1"/>
    <col min="262" max="513" width="9.140625" style="266"/>
    <col min="514" max="515" width="20.7109375" style="266" customWidth="1"/>
    <col min="516" max="516" width="28.42578125" style="266" customWidth="1"/>
    <col min="517" max="517" width="20.7109375" style="266" customWidth="1"/>
    <col min="518" max="769" width="9.140625" style="266"/>
    <col min="770" max="771" width="20.7109375" style="266" customWidth="1"/>
    <col min="772" max="772" width="28.42578125" style="266" customWidth="1"/>
    <col min="773" max="773" width="20.7109375" style="266" customWidth="1"/>
    <col min="774" max="1025" width="9.140625" style="266"/>
    <col min="1026" max="1027" width="20.7109375" style="266" customWidth="1"/>
    <col min="1028" max="1028" width="28.42578125" style="266" customWidth="1"/>
    <col min="1029" max="1029" width="20.7109375" style="266" customWidth="1"/>
    <col min="1030" max="1281" width="9.140625" style="266"/>
    <col min="1282" max="1283" width="20.7109375" style="266" customWidth="1"/>
    <col min="1284" max="1284" width="28.42578125" style="266" customWidth="1"/>
    <col min="1285" max="1285" width="20.7109375" style="266" customWidth="1"/>
    <col min="1286" max="1537" width="9.140625" style="266"/>
    <col min="1538" max="1539" width="20.7109375" style="266" customWidth="1"/>
    <col min="1540" max="1540" width="28.42578125" style="266" customWidth="1"/>
    <col min="1541" max="1541" width="20.7109375" style="266" customWidth="1"/>
    <col min="1542" max="1793" width="9.140625" style="266"/>
    <col min="1794" max="1795" width="20.7109375" style="266" customWidth="1"/>
    <col min="1796" max="1796" width="28.42578125" style="266" customWidth="1"/>
    <col min="1797" max="1797" width="20.7109375" style="266" customWidth="1"/>
    <col min="1798" max="2049" width="9.140625" style="266"/>
    <col min="2050" max="2051" width="20.7109375" style="266" customWidth="1"/>
    <col min="2052" max="2052" width="28.42578125" style="266" customWidth="1"/>
    <col min="2053" max="2053" width="20.7109375" style="266" customWidth="1"/>
    <col min="2054" max="2305" width="9.140625" style="266"/>
    <col min="2306" max="2307" width="20.7109375" style="266" customWidth="1"/>
    <col min="2308" max="2308" width="28.42578125" style="266" customWidth="1"/>
    <col min="2309" max="2309" width="20.7109375" style="266" customWidth="1"/>
    <col min="2310" max="2561" width="9.140625" style="266"/>
    <col min="2562" max="2563" width="20.7109375" style="266" customWidth="1"/>
    <col min="2564" max="2564" width="28.42578125" style="266" customWidth="1"/>
    <col min="2565" max="2565" width="20.7109375" style="266" customWidth="1"/>
    <col min="2566" max="2817" width="9.140625" style="266"/>
    <col min="2818" max="2819" width="20.7109375" style="266" customWidth="1"/>
    <col min="2820" max="2820" width="28.42578125" style="266" customWidth="1"/>
    <col min="2821" max="2821" width="20.7109375" style="266" customWidth="1"/>
    <col min="2822" max="3073" width="9.140625" style="266"/>
    <col min="3074" max="3075" width="20.7109375" style="266" customWidth="1"/>
    <col min="3076" max="3076" width="28.42578125" style="266" customWidth="1"/>
    <col min="3077" max="3077" width="20.7109375" style="266" customWidth="1"/>
    <col min="3078" max="3329" width="9.140625" style="266"/>
    <col min="3330" max="3331" width="20.7109375" style="266" customWidth="1"/>
    <col min="3332" max="3332" width="28.42578125" style="266" customWidth="1"/>
    <col min="3333" max="3333" width="20.7109375" style="266" customWidth="1"/>
    <col min="3334" max="3585" width="9.140625" style="266"/>
    <col min="3586" max="3587" width="20.7109375" style="266" customWidth="1"/>
    <col min="3588" max="3588" width="28.42578125" style="266" customWidth="1"/>
    <col min="3589" max="3589" width="20.7109375" style="266" customWidth="1"/>
    <col min="3590" max="3841" width="9.140625" style="266"/>
    <col min="3842" max="3843" width="20.7109375" style="266" customWidth="1"/>
    <col min="3844" max="3844" width="28.42578125" style="266" customWidth="1"/>
    <col min="3845" max="3845" width="20.7109375" style="266" customWidth="1"/>
    <col min="3846" max="4097" width="9.140625" style="266"/>
    <col min="4098" max="4099" width="20.7109375" style="266" customWidth="1"/>
    <col min="4100" max="4100" width="28.42578125" style="266" customWidth="1"/>
    <col min="4101" max="4101" width="20.7109375" style="266" customWidth="1"/>
    <col min="4102" max="4353" width="9.140625" style="266"/>
    <col min="4354" max="4355" width="20.7109375" style="266" customWidth="1"/>
    <col min="4356" max="4356" width="28.42578125" style="266" customWidth="1"/>
    <col min="4357" max="4357" width="20.7109375" style="266" customWidth="1"/>
    <col min="4358" max="4609" width="9.140625" style="266"/>
    <col min="4610" max="4611" width="20.7109375" style="266" customWidth="1"/>
    <col min="4612" max="4612" width="28.42578125" style="266" customWidth="1"/>
    <col min="4613" max="4613" width="20.7109375" style="266" customWidth="1"/>
    <col min="4614" max="4865" width="9.140625" style="266"/>
    <col min="4866" max="4867" width="20.7109375" style="266" customWidth="1"/>
    <col min="4868" max="4868" width="28.42578125" style="266" customWidth="1"/>
    <col min="4869" max="4869" width="20.7109375" style="266" customWidth="1"/>
    <col min="4870" max="5121" width="9.140625" style="266"/>
    <col min="5122" max="5123" width="20.7109375" style="266" customWidth="1"/>
    <col min="5124" max="5124" width="28.42578125" style="266" customWidth="1"/>
    <col min="5125" max="5125" width="20.7109375" style="266" customWidth="1"/>
    <col min="5126" max="5377" width="9.140625" style="266"/>
    <col min="5378" max="5379" width="20.7109375" style="266" customWidth="1"/>
    <col min="5380" max="5380" width="28.42578125" style="266" customWidth="1"/>
    <col min="5381" max="5381" width="20.7109375" style="266" customWidth="1"/>
    <col min="5382" max="5633" width="9.140625" style="266"/>
    <col min="5634" max="5635" width="20.7109375" style="266" customWidth="1"/>
    <col min="5636" max="5636" width="28.42578125" style="266" customWidth="1"/>
    <col min="5637" max="5637" width="20.7109375" style="266" customWidth="1"/>
    <col min="5638" max="5889" width="9.140625" style="266"/>
    <col min="5890" max="5891" width="20.7109375" style="266" customWidth="1"/>
    <col min="5892" max="5892" width="28.42578125" style="266" customWidth="1"/>
    <col min="5893" max="5893" width="20.7109375" style="266" customWidth="1"/>
    <col min="5894" max="6145" width="9.140625" style="266"/>
    <col min="6146" max="6147" width="20.7109375" style="266" customWidth="1"/>
    <col min="6148" max="6148" width="28.42578125" style="266" customWidth="1"/>
    <col min="6149" max="6149" width="20.7109375" style="266" customWidth="1"/>
    <col min="6150" max="6401" width="9.140625" style="266"/>
    <col min="6402" max="6403" width="20.7109375" style="266" customWidth="1"/>
    <col min="6404" max="6404" width="28.42578125" style="266" customWidth="1"/>
    <col min="6405" max="6405" width="20.7109375" style="266" customWidth="1"/>
    <col min="6406" max="6657" width="9.140625" style="266"/>
    <col min="6658" max="6659" width="20.7109375" style="266" customWidth="1"/>
    <col min="6660" max="6660" width="28.42578125" style="266" customWidth="1"/>
    <col min="6661" max="6661" width="20.7109375" style="266" customWidth="1"/>
    <col min="6662" max="6913" width="9.140625" style="266"/>
    <col min="6914" max="6915" width="20.7109375" style="266" customWidth="1"/>
    <col min="6916" max="6916" width="28.42578125" style="266" customWidth="1"/>
    <col min="6917" max="6917" width="20.7109375" style="266" customWidth="1"/>
    <col min="6918" max="7169" width="9.140625" style="266"/>
    <col min="7170" max="7171" width="20.7109375" style="266" customWidth="1"/>
    <col min="7172" max="7172" width="28.42578125" style="266" customWidth="1"/>
    <col min="7173" max="7173" width="20.7109375" style="266" customWidth="1"/>
    <col min="7174" max="7425" width="9.140625" style="266"/>
    <col min="7426" max="7427" width="20.7109375" style="266" customWidth="1"/>
    <col min="7428" max="7428" width="28.42578125" style="266" customWidth="1"/>
    <col min="7429" max="7429" width="20.7109375" style="266" customWidth="1"/>
    <col min="7430" max="7681" width="9.140625" style="266"/>
    <col min="7682" max="7683" width="20.7109375" style="266" customWidth="1"/>
    <col min="7684" max="7684" width="28.42578125" style="266" customWidth="1"/>
    <col min="7685" max="7685" width="20.7109375" style="266" customWidth="1"/>
    <col min="7686" max="7937" width="9.140625" style="266"/>
    <col min="7938" max="7939" width="20.7109375" style="266" customWidth="1"/>
    <col min="7940" max="7940" width="28.42578125" style="266" customWidth="1"/>
    <col min="7941" max="7941" width="20.7109375" style="266" customWidth="1"/>
    <col min="7942" max="8193" width="9.140625" style="266"/>
    <col min="8194" max="8195" width="20.7109375" style="266" customWidth="1"/>
    <col min="8196" max="8196" width="28.42578125" style="266" customWidth="1"/>
    <col min="8197" max="8197" width="20.7109375" style="266" customWidth="1"/>
    <col min="8198" max="8449" width="9.140625" style="266"/>
    <col min="8450" max="8451" width="20.7109375" style="266" customWidth="1"/>
    <col min="8452" max="8452" width="28.42578125" style="266" customWidth="1"/>
    <col min="8453" max="8453" width="20.7109375" style="266" customWidth="1"/>
    <col min="8454" max="8705" width="9.140625" style="266"/>
    <col min="8706" max="8707" width="20.7109375" style="266" customWidth="1"/>
    <col min="8708" max="8708" width="28.42578125" style="266" customWidth="1"/>
    <col min="8709" max="8709" width="20.7109375" style="266" customWidth="1"/>
    <col min="8710" max="8961" width="9.140625" style="266"/>
    <col min="8962" max="8963" width="20.7109375" style="266" customWidth="1"/>
    <col min="8964" max="8964" width="28.42578125" style="266" customWidth="1"/>
    <col min="8965" max="8965" width="20.7109375" style="266" customWidth="1"/>
    <col min="8966" max="9217" width="9.140625" style="266"/>
    <col min="9218" max="9219" width="20.7109375" style="266" customWidth="1"/>
    <col min="9220" max="9220" width="28.42578125" style="266" customWidth="1"/>
    <col min="9221" max="9221" width="20.7109375" style="266" customWidth="1"/>
    <col min="9222" max="9473" width="9.140625" style="266"/>
    <col min="9474" max="9475" width="20.7109375" style="266" customWidth="1"/>
    <col min="9476" max="9476" width="28.42578125" style="266" customWidth="1"/>
    <col min="9477" max="9477" width="20.7109375" style="266" customWidth="1"/>
    <col min="9478" max="9729" width="9.140625" style="266"/>
    <col min="9730" max="9731" width="20.7109375" style="266" customWidth="1"/>
    <col min="9732" max="9732" width="28.42578125" style="266" customWidth="1"/>
    <col min="9733" max="9733" width="20.7109375" style="266" customWidth="1"/>
    <col min="9734" max="9985" width="9.140625" style="266"/>
    <col min="9986" max="9987" width="20.7109375" style="266" customWidth="1"/>
    <col min="9988" max="9988" width="28.42578125" style="266" customWidth="1"/>
    <col min="9989" max="9989" width="20.7109375" style="266" customWidth="1"/>
    <col min="9990" max="10241" width="9.140625" style="266"/>
    <col min="10242" max="10243" width="20.7109375" style="266" customWidth="1"/>
    <col min="10244" max="10244" width="28.42578125" style="266" customWidth="1"/>
    <col min="10245" max="10245" width="20.7109375" style="266" customWidth="1"/>
    <col min="10246" max="10497" width="9.140625" style="266"/>
    <col min="10498" max="10499" width="20.7109375" style="266" customWidth="1"/>
    <col min="10500" max="10500" width="28.42578125" style="266" customWidth="1"/>
    <col min="10501" max="10501" width="20.7109375" style="266" customWidth="1"/>
    <col min="10502" max="10753" width="9.140625" style="266"/>
    <col min="10754" max="10755" width="20.7109375" style="266" customWidth="1"/>
    <col min="10756" max="10756" width="28.42578125" style="266" customWidth="1"/>
    <col min="10757" max="10757" width="20.7109375" style="266" customWidth="1"/>
    <col min="10758" max="11009" width="9.140625" style="266"/>
    <col min="11010" max="11011" width="20.7109375" style="266" customWidth="1"/>
    <col min="11012" max="11012" width="28.42578125" style="266" customWidth="1"/>
    <col min="11013" max="11013" width="20.7109375" style="266" customWidth="1"/>
    <col min="11014" max="11265" width="9.140625" style="266"/>
    <col min="11266" max="11267" width="20.7109375" style="266" customWidth="1"/>
    <col min="11268" max="11268" width="28.42578125" style="266" customWidth="1"/>
    <col min="11269" max="11269" width="20.7109375" style="266" customWidth="1"/>
    <col min="11270" max="11521" width="9.140625" style="266"/>
    <col min="11522" max="11523" width="20.7109375" style="266" customWidth="1"/>
    <col min="11524" max="11524" width="28.42578125" style="266" customWidth="1"/>
    <col min="11525" max="11525" width="20.7109375" style="266" customWidth="1"/>
    <col min="11526" max="11777" width="9.140625" style="266"/>
    <col min="11778" max="11779" width="20.7109375" style="266" customWidth="1"/>
    <col min="11780" max="11780" width="28.42578125" style="266" customWidth="1"/>
    <col min="11781" max="11781" width="20.7109375" style="266" customWidth="1"/>
    <col min="11782" max="12033" width="9.140625" style="266"/>
    <col min="12034" max="12035" width="20.7109375" style="266" customWidth="1"/>
    <col min="12036" max="12036" width="28.42578125" style="266" customWidth="1"/>
    <col min="12037" max="12037" width="20.7109375" style="266" customWidth="1"/>
    <col min="12038" max="12289" width="9.140625" style="266"/>
    <col min="12290" max="12291" width="20.7109375" style="266" customWidth="1"/>
    <col min="12292" max="12292" width="28.42578125" style="266" customWidth="1"/>
    <col min="12293" max="12293" width="20.7109375" style="266" customWidth="1"/>
    <col min="12294" max="12545" width="9.140625" style="266"/>
    <col min="12546" max="12547" width="20.7109375" style="266" customWidth="1"/>
    <col min="12548" max="12548" width="28.42578125" style="266" customWidth="1"/>
    <col min="12549" max="12549" width="20.7109375" style="266" customWidth="1"/>
    <col min="12550" max="12801" width="9.140625" style="266"/>
    <col min="12802" max="12803" width="20.7109375" style="266" customWidth="1"/>
    <col min="12804" max="12804" width="28.42578125" style="266" customWidth="1"/>
    <col min="12805" max="12805" width="20.7109375" style="266" customWidth="1"/>
    <col min="12806" max="13057" width="9.140625" style="266"/>
    <col min="13058" max="13059" width="20.7109375" style="266" customWidth="1"/>
    <col min="13060" max="13060" width="28.42578125" style="266" customWidth="1"/>
    <col min="13061" max="13061" width="20.7109375" style="266" customWidth="1"/>
    <col min="13062" max="13313" width="9.140625" style="266"/>
    <col min="13314" max="13315" width="20.7109375" style="266" customWidth="1"/>
    <col min="13316" max="13316" width="28.42578125" style="266" customWidth="1"/>
    <col min="13317" max="13317" width="20.7109375" style="266" customWidth="1"/>
    <col min="13318" max="13569" width="9.140625" style="266"/>
    <col min="13570" max="13571" width="20.7109375" style="266" customWidth="1"/>
    <col min="13572" max="13572" width="28.42578125" style="266" customWidth="1"/>
    <col min="13573" max="13573" width="20.7109375" style="266" customWidth="1"/>
    <col min="13574" max="13825" width="9.140625" style="266"/>
    <col min="13826" max="13827" width="20.7109375" style="266" customWidth="1"/>
    <col min="13828" max="13828" width="28.42578125" style="266" customWidth="1"/>
    <col min="13829" max="13829" width="20.7109375" style="266" customWidth="1"/>
    <col min="13830" max="14081" width="9.140625" style="266"/>
    <col min="14082" max="14083" width="20.7109375" style="266" customWidth="1"/>
    <col min="14084" max="14084" width="28.42578125" style="266" customWidth="1"/>
    <col min="14085" max="14085" width="20.7109375" style="266" customWidth="1"/>
    <col min="14086" max="14337" width="9.140625" style="266"/>
    <col min="14338" max="14339" width="20.7109375" style="266" customWidth="1"/>
    <col min="14340" max="14340" width="28.42578125" style="266" customWidth="1"/>
    <col min="14341" max="14341" width="20.7109375" style="266" customWidth="1"/>
    <col min="14342" max="14593" width="9.140625" style="266"/>
    <col min="14594" max="14595" width="20.7109375" style="266" customWidth="1"/>
    <col min="14596" max="14596" width="28.42578125" style="266" customWidth="1"/>
    <col min="14597" max="14597" width="20.7109375" style="266" customWidth="1"/>
    <col min="14598" max="14849" width="9.140625" style="266"/>
    <col min="14850" max="14851" width="20.7109375" style="266" customWidth="1"/>
    <col min="14852" max="14852" width="28.42578125" style="266" customWidth="1"/>
    <col min="14853" max="14853" width="20.7109375" style="266" customWidth="1"/>
    <col min="14854" max="15105" width="9.140625" style="266"/>
    <col min="15106" max="15107" width="20.7109375" style="266" customWidth="1"/>
    <col min="15108" max="15108" width="28.42578125" style="266" customWidth="1"/>
    <col min="15109" max="15109" width="20.7109375" style="266" customWidth="1"/>
    <col min="15110" max="15361" width="9.140625" style="266"/>
    <col min="15362" max="15363" width="20.7109375" style="266" customWidth="1"/>
    <col min="15364" max="15364" width="28.42578125" style="266" customWidth="1"/>
    <col min="15365" max="15365" width="20.7109375" style="266" customWidth="1"/>
    <col min="15366" max="15617" width="9.140625" style="266"/>
    <col min="15618" max="15619" width="20.7109375" style="266" customWidth="1"/>
    <col min="15620" max="15620" width="28.42578125" style="266" customWidth="1"/>
    <col min="15621" max="15621" width="20.7109375" style="266" customWidth="1"/>
    <col min="15622" max="15873" width="9.140625" style="266"/>
    <col min="15874" max="15875" width="20.7109375" style="266" customWidth="1"/>
    <col min="15876" max="15876" width="28.42578125" style="266" customWidth="1"/>
    <col min="15877" max="15877" width="20.7109375" style="266" customWidth="1"/>
    <col min="15878" max="16129" width="9.140625" style="266"/>
    <col min="16130" max="16131" width="20.7109375" style="266" customWidth="1"/>
    <col min="16132" max="16132" width="28.42578125" style="266" customWidth="1"/>
    <col min="16133" max="16133" width="20.7109375" style="266" customWidth="1"/>
    <col min="16134" max="16384" width="9.140625" style="266"/>
  </cols>
  <sheetData>
    <row r="1" spans="1:16" ht="16.5" customHeight="1" x14ac:dyDescent="0.2">
      <c r="D1" s="618" t="s">
        <v>726</v>
      </c>
      <c r="E1" s="618"/>
      <c r="F1" s="618"/>
      <c r="G1" s="618"/>
    </row>
    <row r="2" spans="1:16" ht="19.5" customHeight="1" x14ac:dyDescent="0.2">
      <c r="D2" s="618"/>
      <c r="E2" s="618"/>
      <c r="F2" s="618"/>
      <c r="G2" s="618"/>
    </row>
    <row r="3" spans="1:16" ht="28.5" customHeight="1" x14ac:dyDescent="0.2">
      <c r="D3" s="618"/>
      <c r="E3" s="618"/>
      <c r="F3" s="618"/>
      <c r="G3" s="618"/>
    </row>
    <row r="4" spans="1:16" ht="15" customHeight="1" x14ac:dyDescent="0.2">
      <c r="A4" s="237"/>
      <c r="B4" s="237"/>
      <c r="C4" s="237"/>
      <c r="D4" s="237"/>
      <c r="E4" s="267" t="s">
        <v>499</v>
      </c>
      <c r="F4" s="237"/>
      <c r="G4" s="237"/>
      <c r="H4" s="237"/>
      <c r="I4" s="237"/>
      <c r="J4" s="237"/>
      <c r="K4" s="237"/>
      <c r="L4" s="237"/>
      <c r="M4" s="237"/>
      <c r="N4" s="237"/>
      <c r="O4" s="237"/>
      <c r="P4" s="237"/>
    </row>
    <row r="5" spans="1:16" s="268" customFormat="1" ht="18.75" x14ac:dyDescent="0.3">
      <c r="B5" s="619" t="s">
        <v>482</v>
      </c>
      <c r="C5" s="620"/>
      <c r="D5" s="620"/>
      <c r="E5" s="620"/>
    </row>
    <row r="6" spans="1:16" x14ac:dyDescent="0.2">
      <c r="B6" s="621" t="s">
        <v>3</v>
      </c>
      <c r="C6" s="622"/>
      <c r="D6" s="622"/>
      <c r="E6" s="622"/>
    </row>
    <row r="7" spans="1:16" x14ac:dyDescent="0.2">
      <c r="B7" s="622" t="s">
        <v>4</v>
      </c>
      <c r="C7" s="622"/>
      <c r="D7" s="622"/>
      <c r="E7" s="622"/>
    </row>
    <row r="9" spans="1:16" s="269" customFormat="1" ht="21.95" customHeight="1" x14ac:dyDescent="0.25">
      <c r="B9" s="270" t="s">
        <v>483</v>
      </c>
      <c r="C9" s="271"/>
      <c r="D9" s="271"/>
      <c r="E9" s="272" t="s">
        <v>484</v>
      </c>
    </row>
    <row r="10" spans="1:16" ht="51" x14ac:dyDescent="0.2">
      <c r="B10" s="273" t="s">
        <v>485</v>
      </c>
      <c r="C10" s="273" t="s">
        <v>486</v>
      </c>
      <c r="D10" s="273" t="s">
        <v>487</v>
      </c>
      <c r="E10" s="273" t="s">
        <v>8</v>
      </c>
    </row>
    <row r="11" spans="1:16" x14ac:dyDescent="0.2">
      <c r="B11" s="274">
        <v>1</v>
      </c>
      <c r="C11" s="274">
        <v>2</v>
      </c>
      <c r="D11" s="274">
        <v>3</v>
      </c>
      <c r="E11" s="274">
        <v>4</v>
      </c>
    </row>
    <row r="12" spans="1:16" s="269" customFormat="1" ht="15.75" x14ac:dyDescent="0.25">
      <c r="B12" s="623" t="s">
        <v>488</v>
      </c>
      <c r="C12" s="623"/>
      <c r="D12" s="623"/>
      <c r="E12" s="623"/>
    </row>
    <row r="13" spans="1:16" s="271" customFormat="1" hidden="1" x14ac:dyDescent="0.2">
      <c r="B13" s="275">
        <v>3719110</v>
      </c>
      <c r="C13" s="275">
        <v>9110</v>
      </c>
      <c r="D13" s="275" t="s">
        <v>454</v>
      </c>
      <c r="E13" s="276"/>
    </row>
    <row r="14" spans="1:16" s="271" customFormat="1" hidden="1" x14ac:dyDescent="0.2">
      <c r="B14" s="277" t="s">
        <v>489</v>
      </c>
      <c r="C14" s="278" t="s">
        <v>490</v>
      </c>
      <c r="D14" s="279"/>
      <c r="E14" s="280">
        <f>E13</f>
        <v>0</v>
      </c>
    </row>
    <row r="15" spans="1:16" s="271" customFormat="1" ht="25.5" x14ac:dyDescent="0.2">
      <c r="B15" s="402" t="s">
        <v>455</v>
      </c>
      <c r="C15" s="281">
        <v>9770</v>
      </c>
      <c r="D15" s="403" t="s">
        <v>108</v>
      </c>
      <c r="E15" s="283">
        <v>10000000</v>
      </c>
    </row>
    <row r="16" spans="1:16" s="271" customFormat="1" x14ac:dyDescent="0.2">
      <c r="B16" s="404" t="s">
        <v>823</v>
      </c>
      <c r="C16" s="278" t="s">
        <v>824</v>
      </c>
      <c r="D16" s="279"/>
      <c r="E16" s="280">
        <f>E15</f>
        <v>10000000</v>
      </c>
    </row>
    <row r="17" spans="1:7" s="271" customFormat="1" ht="57" customHeight="1" x14ac:dyDescent="0.2">
      <c r="B17" s="281" t="s">
        <v>206</v>
      </c>
      <c r="C17" s="282">
        <v>9800</v>
      </c>
      <c r="D17" s="282" t="s">
        <v>208</v>
      </c>
      <c r="E17" s="283">
        <f>'dod 2'!E34</f>
        <v>14650000</v>
      </c>
    </row>
    <row r="18" spans="1:7" s="271" customFormat="1" x14ac:dyDescent="0.2">
      <c r="B18" s="281">
        <v>9900000000</v>
      </c>
      <c r="C18" s="282" t="s">
        <v>490</v>
      </c>
      <c r="D18" s="284"/>
      <c r="E18" s="280">
        <f>E17</f>
        <v>14650000</v>
      </c>
    </row>
    <row r="19" spans="1:7" s="271" customFormat="1" ht="178.5" hidden="1" x14ac:dyDescent="0.2">
      <c r="B19" s="285" t="s">
        <v>491</v>
      </c>
      <c r="C19" s="285" t="s">
        <v>492</v>
      </c>
      <c r="D19" s="286" t="s">
        <v>493</v>
      </c>
      <c r="E19" s="283"/>
    </row>
    <row r="20" spans="1:7" s="271" customFormat="1" hidden="1" x14ac:dyDescent="0.2">
      <c r="B20" s="281">
        <v>9900000000</v>
      </c>
      <c r="C20" s="282" t="s">
        <v>490</v>
      </c>
      <c r="D20" s="284"/>
      <c r="E20" s="280">
        <f>E19</f>
        <v>0</v>
      </c>
    </row>
    <row r="21" spans="1:7" s="269" customFormat="1" ht="20.100000000000001" customHeight="1" x14ac:dyDescent="0.25">
      <c r="B21" s="624" t="s">
        <v>494</v>
      </c>
      <c r="C21" s="625"/>
      <c r="D21" s="625"/>
      <c r="E21" s="626"/>
    </row>
    <row r="22" spans="1:7" s="269" customFormat="1" ht="51" x14ac:dyDescent="0.25">
      <c r="B22" s="281" t="s">
        <v>206</v>
      </c>
      <c r="C22" s="282">
        <v>9800</v>
      </c>
      <c r="D22" s="287" t="s">
        <v>208</v>
      </c>
      <c r="E22" s="288">
        <f>'dod 2'!J34</f>
        <v>18994000</v>
      </c>
    </row>
    <row r="23" spans="1:7" s="269" customFormat="1" ht="20.100000000000001" customHeight="1" x14ac:dyDescent="0.25">
      <c r="B23" s="289">
        <v>9900000000</v>
      </c>
      <c r="C23" s="616" t="s">
        <v>490</v>
      </c>
      <c r="D23" s="616"/>
      <c r="E23" s="290">
        <f>E22</f>
        <v>18994000</v>
      </c>
    </row>
    <row r="24" spans="1:7" s="291" customFormat="1" ht="15.75" x14ac:dyDescent="0.25">
      <c r="B24" s="292" t="s">
        <v>495</v>
      </c>
      <c r="C24" s="292" t="s">
        <v>495</v>
      </c>
      <c r="D24" s="293" t="s">
        <v>496</v>
      </c>
      <c r="E24" s="294"/>
    </row>
    <row r="25" spans="1:7" s="291" customFormat="1" ht="15.75" x14ac:dyDescent="0.25">
      <c r="B25" s="292" t="s">
        <v>495</v>
      </c>
      <c r="C25" s="292" t="s">
        <v>495</v>
      </c>
      <c r="D25" s="293" t="s">
        <v>497</v>
      </c>
      <c r="E25" s="276">
        <f>E13+E17+E19+E15</f>
        <v>24650000</v>
      </c>
    </row>
    <row r="26" spans="1:7" s="291" customFormat="1" ht="15.75" x14ac:dyDescent="0.25">
      <c r="B26" s="295" t="s">
        <v>495</v>
      </c>
      <c r="C26" s="295" t="s">
        <v>495</v>
      </c>
      <c r="D26" s="296" t="s">
        <v>498</v>
      </c>
      <c r="E26" s="276">
        <f>E22</f>
        <v>18994000</v>
      </c>
    </row>
    <row r="27" spans="1:7" s="297" customFormat="1" ht="63" customHeight="1" x14ac:dyDescent="0.25">
      <c r="A27" s="8"/>
      <c r="B27" s="617" t="s">
        <v>727</v>
      </c>
      <c r="C27" s="617"/>
      <c r="D27" s="224"/>
      <c r="E27" s="73" t="s">
        <v>728</v>
      </c>
      <c r="F27" s="73"/>
      <c r="G27" s="8"/>
    </row>
  </sheetData>
  <mergeCells count="8">
    <mergeCell ref="C23:D23"/>
    <mergeCell ref="B27:C27"/>
    <mergeCell ref="D1:G3"/>
    <mergeCell ref="B5:E5"/>
    <mergeCell ref="B6:E6"/>
    <mergeCell ref="B7:E7"/>
    <mergeCell ref="B12:E12"/>
    <mergeCell ref="B21:E21"/>
  </mergeCells>
  <printOptions horizontalCentered="1"/>
  <pageMargins left="0.19685039370078741" right="0.19685039370078741" top="0.19685039370078741" bottom="0.19685039370078741" header="0" footer="0"/>
  <pageSetup paperSize="9" scale="84" fitToHeight="5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filterMode="1">
    <pageSetUpPr fitToPage="1"/>
  </sheetPr>
  <dimension ref="B1:Q94"/>
  <sheetViews>
    <sheetView view="pageBreakPreview" topLeftCell="B1" zoomScale="85" zoomScaleNormal="70" zoomScaleSheetLayoutView="85" workbookViewId="0">
      <selection activeCell="H88" sqref="H88"/>
    </sheetView>
  </sheetViews>
  <sheetFormatPr defaultRowHeight="12.75" x14ac:dyDescent="0.2"/>
  <cols>
    <col min="1" max="1" width="9.140625" style="462"/>
    <col min="2" max="2" width="14.42578125" style="462" customWidth="1"/>
    <col min="3" max="3" width="11.7109375" style="462" customWidth="1"/>
    <col min="4" max="4" width="12" style="462" customWidth="1"/>
    <col min="5" max="5" width="49.5703125" style="462" customWidth="1"/>
    <col min="6" max="6" width="44" style="462" customWidth="1"/>
    <col min="7" max="7" width="14.85546875" style="462" customWidth="1"/>
    <col min="8" max="9" width="18.7109375" style="462" customWidth="1"/>
    <col min="10" max="10" width="19.7109375" style="462" customWidth="1"/>
    <col min="11" max="11" width="14.28515625" style="462" customWidth="1"/>
    <col min="12" max="12" width="9.140625" style="462"/>
    <col min="13" max="13" width="10.85546875" style="462" bestFit="1" customWidth="1"/>
    <col min="14" max="14" width="19.140625" style="462" customWidth="1"/>
    <col min="15" max="15" width="18.5703125" style="462" customWidth="1"/>
    <col min="16" max="16" width="14.7109375" style="462" customWidth="1"/>
    <col min="17" max="257" width="9.140625" style="462"/>
    <col min="258" max="258" width="14.42578125" style="462" customWidth="1"/>
    <col min="259" max="259" width="11.7109375" style="462" customWidth="1"/>
    <col min="260" max="260" width="12" style="462" customWidth="1"/>
    <col min="261" max="261" width="49.5703125" style="462" customWidth="1"/>
    <col min="262" max="262" width="44" style="462" customWidth="1"/>
    <col min="263" max="263" width="14.85546875" style="462" customWidth="1"/>
    <col min="264" max="265" width="18.7109375" style="462" customWidth="1"/>
    <col min="266" max="266" width="19.7109375" style="462" customWidth="1"/>
    <col min="267" max="267" width="14.28515625" style="462" customWidth="1"/>
    <col min="268" max="268" width="9.140625" style="462"/>
    <col min="269" max="269" width="10.85546875" style="462" bestFit="1" customWidth="1"/>
    <col min="270" max="270" width="19.140625" style="462" customWidth="1"/>
    <col min="271" max="271" width="18.5703125" style="462" customWidth="1"/>
    <col min="272" max="272" width="14.7109375" style="462" customWidth="1"/>
    <col min="273" max="513" width="9.140625" style="462"/>
    <col min="514" max="514" width="14.42578125" style="462" customWidth="1"/>
    <col min="515" max="515" width="11.7109375" style="462" customWidth="1"/>
    <col min="516" max="516" width="12" style="462" customWidth="1"/>
    <col min="517" max="517" width="49.5703125" style="462" customWidth="1"/>
    <col min="518" max="518" width="44" style="462" customWidth="1"/>
    <col min="519" max="519" width="14.85546875" style="462" customWidth="1"/>
    <col min="520" max="521" width="18.7109375" style="462" customWidth="1"/>
    <col min="522" max="522" width="19.7109375" style="462" customWidth="1"/>
    <col min="523" max="523" width="14.28515625" style="462" customWidth="1"/>
    <col min="524" max="524" width="9.140625" style="462"/>
    <col min="525" max="525" width="10.85546875" style="462" bestFit="1" customWidth="1"/>
    <col min="526" max="526" width="19.140625" style="462" customWidth="1"/>
    <col min="527" max="527" width="18.5703125" style="462" customWidth="1"/>
    <col min="528" max="528" width="14.7109375" style="462" customWidth="1"/>
    <col min="529" max="769" width="9.140625" style="462"/>
    <col min="770" max="770" width="14.42578125" style="462" customWidth="1"/>
    <col min="771" max="771" width="11.7109375" style="462" customWidth="1"/>
    <col min="772" max="772" width="12" style="462" customWidth="1"/>
    <col min="773" max="773" width="49.5703125" style="462" customWidth="1"/>
    <col min="774" max="774" width="44" style="462" customWidth="1"/>
    <col min="775" max="775" width="14.85546875" style="462" customWidth="1"/>
    <col min="776" max="777" width="18.7109375" style="462" customWidth="1"/>
    <col min="778" max="778" width="19.7109375" style="462" customWidth="1"/>
    <col min="779" max="779" width="14.28515625" style="462" customWidth="1"/>
    <col min="780" max="780" width="9.140625" style="462"/>
    <col min="781" max="781" width="10.85546875" style="462" bestFit="1" customWidth="1"/>
    <col min="782" max="782" width="19.140625" style="462" customWidth="1"/>
    <col min="783" max="783" width="18.5703125" style="462" customWidth="1"/>
    <col min="784" max="784" width="14.7109375" style="462" customWidth="1"/>
    <col min="785" max="1025" width="9.140625" style="462"/>
    <col min="1026" max="1026" width="14.42578125" style="462" customWidth="1"/>
    <col min="1027" max="1027" width="11.7109375" style="462" customWidth="1"/>
    <col min="1028" max="1028" width="12" style="462" customWidth="1"/>
    <col min="1029" max="1029" width="49.5703125" style="462" customWidth="1"/>
    <col min="1030" max="1030" width="44" style="462" customWidth="1"/>
    <col min="1031" max="1031" width="14.85546875" style="462" customWidth="1"/>
    <col min="1032" max="1033" width="18.7109375" style="462" customWidth="1"/>
    <col min="1034" max="1034" width="19.7109375" style="462" customWidth="1"/>
    <col min="1035" max="1035" width="14.28515625" style="462" customWidth="1"/>
    <col min="1036" max="1036" width="9.140625" style="462"/>
    <col min="1037" max="1037" width="10.85546875" style="462" bestFit="1" customWidth="1"/>
    <col min="1038" max="1038" width="19.140625" style="462" customWidth="1"/>
    <col min="1039" max="1039" width="18.5703125" style="462" customWidth="1"/>
    <col min="1040" max="1040" width="14.7109375" style="462" customWidth="1"/>
    <col min="1041" max="1281" width="9.140625" style="462"/>
    <col min="1282" max="1282" width="14.42578125" style="462" customWidth="1"/>
    <col min="1283" max="1283" width="11.7109375" style="462" customWidth="1"/>
    <col min="1284" max="1284" width="12" style="462" customWidth="1"/>
    <col min="1285" max="1285" width="49.5703125" style="462" customWidth="1"/>
    <col min="1286" max="1286" width="44" style="462" customWidth="1"/>
    <col min="1287" max="1287" width="14.85546875" style="462" customWidth="1"/>
    <col min="1288" max="1289" width="18.7109375" style="462" customWidth="1"/>
    <col min="1290" max="1290" width="19.7109375" style="462" customWidth="1"/>
    <col min="1291" max="1291" width="14.28515625" style="462" customWidth="1"/>
    <col min="1292" max="1292" width="9.140625" style="462"/>
    <col min="1293" max="1293" width="10.85546875" style="462" bestFit="1" customWidth="1"/>
    <col min="1294" max="1294" width="19.140625" style="462" customWidth="1"/>
    <col min="1295" max="1295" width="18.5703125" style="462" customWidth="1"/>
    <col min="1296" max="1296" width="14.7109375" style="462" customWidth="1"/>
    <col min="1297" max="1537" width="9.140625" style="462"/>
    <col min="1538" max="1538" width="14.42578125" style="462" customWidth="1"/>
    <col min="1539" max="1539" width="11.7109375" style="462" customWidth="1"/>
    <col min="1540" max="1540" width="12" style="462" customWidth="1"/>
    <col min="1541" max="1541" width="49.5703125" style="462" customWidth="1"/>
    <col min="1542" max="1542" width="44" style="462" customWidth="1"/>
    <col min="1543" max="1543" width="14.85546875" style="462" customWidth="1"/>
    <col min="1544" max="1545" width="18.7109375" style="462" customWidth="1"/>
    <col min="1546" max="1546" width="19.7109375" style="462" customWidth="1"/>
    <col min="1547" max="1547" width="14.28515625" style="462" customWidth="1"/>
    <col min="1548" max="1548" width="9.140625" style="462"/>
    <col min="1549" max="1549" width="10.85546875" style="462" bestFit="1" customWidth="1"/>
    <col min="1550" max="1550" width="19.140625" style="462" customWidth="1"/>
    <col min="1551" max="1551" width="18.5703125" style="462" customWidth="1"/>
    <col min="1552" max="1552" width="14.7109375" style="462" customWidth="1"/>
    <col min="1553" max="1793" width="9.140625" style="462"/>
    <col min="1794" max="1794" width="14.42578125" style="462" customWidth="1"/>
    <col min="1795" max="1795" width="11.7109375" style="462" customWidth="1"/>
    <col min="1796" max="1796" width="12" style="462" customWidth="1"/>
    <col min="1797" max="1797" width="49.5703125" style="462" customWidth="1"/>
    <col min="1798" max="1798" width="44" style="462" customWidth="1"/>
    <col min="1799" max="1799" width="14.85546875" style="462" customWidth="1"/>
    <col min="1800" max="1801" width="18.7109375" style="462" customWidth="1"/>
    <col min="1802" max="1802" width="19.7109375" style="462" customWidth="1"/>
    <col min="1803" max="1803" width="14.28515625" style="462" customWidth="1"/>
    <col min="1804" max="1804" width="9.140625" style="462"/>
    <col min="1805" max="1805" width="10.85546875" style="462" bestFit="1" customWidth="1"/>
    <col min="1806" max="1806" width="19.140625" style="462" customWidth="1"/>
    <col min="1807" max="1807" width="18.5703125" style="462" customWidth="1"/>
    <col min="1808" max="1808" width="14.7109375" style="462" customWidth="1"/>
    <col min="1809" max="2049" width="9.140625" style="462"/>
    <col min="2050" max="2050" width="14.42578125" style="462" customWidth="1"/>
    <col min="2051" max="2051" width="11.7109375" style="462" customWidth="1"/>
    <col min="2052" max="2052" width="12" style="462" customWidth="1"/>
    <col min="2053" max="2053" width="49.5703125" style="462" customWidth="1"/>
    <col min="2054" max="2054" width="44" style="462" customWidth="1"/>
    <col min="2055" max="2055" width="14.85546875" style="462" customWidth="1"/>
    <col min="2056" max="2057" width="18.7109375" style="462" customWidth="1"/>
    <col min="2058" max="2058" width="19.7109375" style="462" customWidth="1"/>
    <col min="2059" max="2059" width="14.28515625" style="462" customWidth="1"/>
    <col min="2060" max="2060" width="9.140625" style="462"/>
    <col min="2061" max="2061" width="10.85546875" style="462" bestFit="1" customWidth="1"/>
    <col min="2062" max="2062" width="19.140625" style="462" customWidth="1"/>
    <col min="2063" max="2063" width="18.5703125" style="462" customWidth="1"/>
    <col min="2064" max="2064" width="14.7109375" style="462" customWidth="1"/>
    <col min="2065" max="2305" width="9.140625" style="462"/>
    <col min="2306" max="2306" width="14.42578125" style="462" customWidth="1"/>
    <col min="2307" max="2307" width="11.7109375" style="462" customWidth="1"/>
    <col min="2308" max="2308" width="12" style="462" customWidth="1"/>
    <col min="2309" max="2309" width="49.5703125" style="462" customWidth="1"/>
    <col min="2310" max="2310" width="44" style="462" customWidth="1"/>
    <col min="2311" max="2311" width="14.85546875" style="462" customWidth="1"/>
    <col min="2312" max="2313" width="18.7109375" style="462" customWidth="1"/>
    <col min="2314" max="2314" width="19.7109375" style="462" customWidth="1"/>
    <col min="2315" max="2315" width="14.28515625" style="462" customWidth="1"/>
    <col min="2316" max="2316" width="9.140625" style="462"/>
    <col min="2317" max="2317" width="10.85546875" style="462" bestFit="1" customWidth="1"/>
    <col min="2318" max="2318" width="19.140625" style="462" customWidth="1"/>
    <col min="2319" max="2319" width="18.5703125" style="462" customWidth="1"/>
    <col min="2320" max="2320" width="14.7109375" style="462" customWidth="1"/>
    <col min="2321" max="2561" width="9.140625" style="462"/>
    <col min="2562" max="2562" width="14.42578125" style="462" customWidth="1"/>
    <col min="2563" max="2563" width="11.7109375" style="462" customWidth="1"/>
    <col min="2564" max="2564" width="12" style="462" customWidth="1"/>
    <col min="2565" max="2565" width="49.5703125" style="462" customWidth="1"/>
    <col min="2566" max="2566" width="44" style="462" customWidth="1"/>
    <col min="2567" max="2567" width="14.85546875" style="462" customWidth="1"/>
    <col min="2568" max="2569" width="18.7109375" style="462" customWidth="1"/>
    <col min="2570" max="2570" width="19.7109375" style="462" customWidth="1"/>
    <col min="2571" max="2571" width="14.28515625" style="462" customWidth="1"/>
    <col min="2572" max="2572" width="9.140625" style="462"/>
    <col min="2573" max="2573" width="10.85546875" style="462" bestFit="1" customWidth="1"/>
    <col min="2574" max="2574" width="19.140625" style="462" customWidth="1"/>
    <col min="2575" max="2575" width="18.5703125" style="462" customWidth="1"/>
    <col min="2576" max="2576" width="14.7109375" style="462" customWidth="1"/>
    <col min="2577" max="2817" width="9.140625" style="462"/>
    <col min="2818" max="2818" width="14.42578125" style="462" customWidth="1"/>
    <col min="2819" max="2819" width="11.7109375" style="462" customWidth="1"/>
    <col min="2820" max="2820" width="12" style="462" customWidth="1"/>
    <col min="2821" max="2821" width="49.5703125" style="462" customWidth="1"/>
    <col min="2822" max="2822" width="44" style="462" customWidth="1"/>
    <col min="2823" max="2823" width="14.85546875" style="462" customWidth="1"/>
    <col min="2824" max="2825" width="18.7109375" style="462" customWidth="1"/>
    <col min="2826" max="2826" width="19.7109375" style="462" customWidth="1"/>
    <col min="2827" max="2827" width="14.28515625" style="462" customWidth="1"/>
    <col min="2828" max="2828" width="9.140625" style="462"/>
    <col min="2829" max="2829" width="10.85546875" style="462" bestFit="1" customWidth="1"/>
    <col min="2830" max="2830" width="19.140625" style="462" customWidth="1"/>
    <col min="2831" max="2831" width="18.5703125" style="462" customWidth="1"/>
    <col min="2832" max="2832" width="14.7109375" style="462" customWidth="1"/>
    <col min="2833" max="3073" width="9.140625" style="462"/>
    <col min="3074" max="3074" width="14.42578125" style="462" customWidth="1"/>
    <col min="3075" max="3075" width="11.7109375" style="462" customWidth="1"/>
    <col min="3076" max="3076" width="12" style="462" customWidth="1"/>
    <col min="3077" max="3077" width="49.5703125" style="462" customWidth="1"/>
    <col min="3078" max="3078" width="44" style="462" customWidth="1"/>
    <col min="3079" max="3079" width="14.85546875" style="462" customWidth="1"/>
    <col min="3080" max="3081" width="18.7109375" style="462" customWidth="1"/>
    <col min="3082" max="3082" width="19.7109375" style="462" customWidth="1"/>
    <col min="3083" max="3083" width="14.28515625" style="462" customWidth="1"/>
    <col min="3084" max="3084" width="9.140625" style="462"/>
    <col min="3085" max="3085" width="10.85546875" style="462" bestFit="1" customWidth="1"/>
    <col min="3086" max="3086" width="19.140625" style="462" customWidth="1"/>
    <col min="3087" max="3087" width="18.5703125" style="462" customWidth="1"/>
    <col min="3088" max="3088" width="14.7109375" style="462" customWidth="1"/>
    <col min="3089" max="3329" width="9.140625" style="462"/>
    <col min="3330" max="3330" width="14.42578125" style="462" customWidth="1"/>
    <col min="3331" max="3331" width="11.7109375" style="462" customWidth="1"/>
    <col min="3332" max="3332" width="12" style="462" customWidth="1"/>
    <col min="3333" max="3333" width="49.5703125" style="462" customWidth="1"/>
    <col min="3334" max="3334" width="44" style="462" customWidth="1"/>
    <col min="3335" max="3335" width="14.85546875" style="462" customWidth="1"/>
    <col min="3336" max="3337" width="18.7109375" style="462" customWidth="1"/>
    <col min="3338" max="3338" width="19.7109375" style="462" customWidth="1"/>
    <col min="3339" max="3339" width="14.28515625" style="462" customWidth="1"/>
    <col min="3340" max="3340" width="9.140625" style="462"/>
    <col min="3341" max="3341" width="10.85546875" style="462" bestFit="1" customWidth="1"/>
    <col min="3342" max="3342" width="19.140625" style="462" customWidth="1"/>
    <col min="3343" max="3343" width="18.5703125" style="462" customWidth="1"/>
    <col min="3344" max="3344" width="14.7109375" style="462" customWidth="1"/>
    <col min="3345" max="3585" width="9.140625" style="462"/>
    <col min="3586" max="3586" width="14.42578125" style="462" customWidth="1"/>
    <col min="3587" max="3587" width="11.7109375" style="462" customWidth="1"/>
    <col min="3588" max="3588" width="12" style="462" customWidth="1"/>
    <col min="3589" max="3589" width="49.5703125" style="462" customWidth="1"/>
    <col min="3590" max="3590" width="44" style="462" customWidth="1"/>
    <col min="3591" max="3591" width="14.85546875" style="462" customWidth="1"/>
    <col min="3592" max="3593" width="18.7109375" style="462" customWidth="1"/>
    <col min="3594" max="3594" width="19.7109375" style="462" customWidth="1"/>
    <col min="3595" max="3595" width="14.28515625" style="462" customWidth="1"/>
    <col min="3596" max="3596" width="9.140625" style="462"/>
    <col min="3597" max="3597" width="10.85546875" style="462" bestFit="1" customWidth="1"/>
    <col min="3598" max="3598" width="19.140625" style="462" customWidth="1"/>
    <col min="3599" max="3599" width="18.5703125" style="462" customWidth="1"/>
    <col min="3600" max="3600" width="14.7109375" style="462" customWidth="1"/>
    <col min="3601" max="3841" width="9.140625" style="462"/>
    <col min="3842" max="3842" width="14.42578125" style="462" customWidth="1"/>
    <col min="3843" max="3843" width="11.7109375" style="462" customWidth="1"/>
    <col min="3844" max="3844" width="12" style="462" customWidth="1"/>
    <col min="3845" max="3845" width="49.5703125" style="462" customWidth="1"/>
    <col min="3846" max="3846" width="44" style="462" customWidth="1"/>
    <col min="3847" max="3847" width="14.85546875" style="462" customWidth="1"/>
    <col min="3848" max="3849" width="18.7109375" style="462" customWidth="1"/>
    <col min="3850" max="3850" width="19.7109375" style="462" customWidth="1"/>
    <col min="3851" max="3851" width="14.28515625" style="462" customWidth="1"/>
    <col min="3852" max="3852" width="9.140625" style="462"/>
    <col min="3853" max="3853" width="10.85546875" style="462" bestFit="1" customWidth="1"/>
    <col min="3854" max="3854" width="19.140625" style="462" customWidth="1"/>
    <col min="3855" max="3855" width="18.5703125" style="462" customWidth="1"/>
    <col min="3856" max="3856" width="14.7109375" style="462" customWidth="1"/>
    <col min="3857" max="4097" width="9.140625" style="462"/>
    <col min="4098" max="4098" width="14.42578125" style="462" customWidth="1"/>
    <col min="4099" max="4099" width="11.7109375" style="462" customWidth="1"/>
    <col min="4100" max="4100" width="12" style="462" customWidth="1"/>
    <col min="4101" max="4101" width="49.5703125" style="462" customWidth="1"/>
    <col min="4102" max="4102" width="44" style="462" customWidth="1"/>
    <col min="4103" max="4103" width="14.85546875" style="462" customWidth="1"/>
    <col min="4104" max="4105" width="18.7109375" style="462" customWidth="1"/>
    <col min="4106" max="4106" width="19.7109375" style="462" customWidth="1"/>
    <col min="4107" max="4107" width="14.28515625" style="462" customWidth="1"/>
    <col min="4108" max="4108" width="9.140625" style="462"/>
    <col min="4109" max="4109" width="10.85546875" style="462" bestFit="1" customWidth="1"/>
    <col min="4110" max="4110" width="19.140625" style="462" customWidth="1"/>
    <col min="4111" max="4111" width="18.5703125" style="462" customWidth="1"/>
    <col min="4112" max="4112" width="14.7109375" style="462" customWidth="1"/>
    <col min="4113" max="4353" width="9.140625" style="462"/>
    <col min="4354" max="4354" width="14.42578125" style="462" customWidth="1"/>
    <col min="4355" max="4355" width="11.7109375" style="462" customWidth="1"/>
    <col min="4356" max="4356" width="12" style="462" customWidth="1"/>
    <col min="4357" max="4357" width="49.5703125" style="462" customWidth="1"/>
    <col min="4358" max="4358" width="44" style="462" customWidth="1"/>
    <col min="4359" max="4359" width="14.85546875" style="462" customWidth="1"/>
    <col min="4360" max="4361" width="18.7109375" style="462" customWidth="1"/>
    <col min="4362" max="4362" width="19.7109375" style="462" customWidth="1"/>
    <col min="4363" max="4363" width="14.28515625" style="462" customWidth="1"/>
    <col min="4364" max="4364" width="9.140625" style="462"/>
    <col min="4365" max="4365" width="10.85546875" style="462" bestFit="1" customWidth="1"/>
    <col min="4366" max="4366" width="19.140625" style="462" customWidth="1"/>
    <col min="4367" max="4367" width="18.5703125" style="462" customWidth="1"/>
    <col min="4368" max="4368" width="14.7109375" style="462" customWidth="1"/>
    <col min="4369" max="4609" width="9.140625" style="462"/>
    <col min="4610" max="4610" width="14.42578125" style="462" customWidth="1"/>
    <col min="4611" max="4611" width="11.7109375" style="462" customWidth="1"/>
    <col min="4612" max="4612" width="12" style="462" customWidth="1"/>
    <col min="4613" max="4613" width="49.5703125" style="462" customWidth="1"/>
    <col min="4614" max="4614" width="44" style="462" customWidth="1"/>
    <col min="4615" max="4615" width="14.85546875" style="462" customWidth="1"/>
    <col min="4616" max="4617" width="18.7109375" style="462" customWidth="1"/>
    <col min="4618" max="4618" width="19.7109375" style="462" customWidth="1"/>
    <col min="4619" max="4619" width="14.28515625" style="462" customWidth="1"/>
    <col min="4620" max="4620" width="9.140625" style="462"/>
    <col min="4621" max="4621" width="10.85546875" style="462" bestFit="1" customWidth="1"/>
    <col min="4622" max="4622" width="19.140625" style="462" customWidth="1"/>
    <col min="4623" max="4623" width="18.5703125" style="462" customWidth="1"/>
    <col min="4624" max="4624" width="14.7109375" style="462" customWidth="1"/>
    <col min="4625" max="4865" width="9.140625" style="462"/>
    <col min="4866" max="4866" width="14.42578125" style="462" customWidth="1"/>
    <col min="4867" max="4867" width="11.7109375" style="462" customWidth="1"/>
    <col min="4868" max="4868" width="12" style="462" customWidth="1"/>
    <col min="4869" max="4869" width="49.5703125" style="462" customWidth="1"/>
    <col min="4870" max="4870" width="44" style="462" customWidth="1"/>
    <col min="4871" max="4871" width="14.85546875" style="462" customWidth="1"/>
    <col min="4872" max="4873" width="18.7109375" style="462" customWidth="1"/>
    <col min="4874" max="4874" width="19.7109375" style="462" customWidth="1"/>
    <col min="4875" max="4875" width="14.28515625" style="462" customWidth="1"/>
    <col min="4876" max="4876" width="9.140625" style="462"/>
    <col min="4877" max="4877" width="10.85546875" style="462" bestFit="1" customWidth="1"/>
    <col min="4878" max="4878" width="19.140625" style="462" customWidth="1"/>
    <col min="4879" max="4879" width="18.5703125" style="462" customWidth="1"/>
    <col min="4880" max="4880" width="14.7109375" style="462" customWidth="1"/>
    <col min="4881" max="5121" width="9.140625" style="462"/>
    <col min="5122" max="5122" width="14.42578125" style="462" customWidth="1"/>
    <col min="5123" max="5123" width="11.7109375" style="462" customWidth="1"/>
    <col min="5124" max="5124" width="12" style="462" customWidth="1"/>
    <col min="5125" max="5125" width="49.5703125" style="462" customWidth="1"/>
    <col min="5126" max="5126" width="44" style="462" customWidth="1"/>
    <col min="5127" max="5127" width="14.85546875" style="462" customWidth="1"/>
    <col min="5128" max="5129" width="18.7109375" style="462" customWidth="1"/>
    <col min="5130" max="5130" width="19.7109375" style="462" customWidth="1"/>
    <col min="5131" max="5131" width="14.28515625" style="462" customWidth="1"/>
    <col min="5132" max="5132" width="9.140625" style="462"/>
    <col min="5133" max="5133" width="10.85546875" style="462" bestFit="1" customWidth="1"/>
    <col min="5134" max="5134" width="19.140625" style="462" customWidth="1"/>
    <col min="5135" max="5135" width="18.5703125" style="462" customWidth="1"/>
    <col min="5136" max="5136" width="14.7109375" style="462" customWidth="1"/>
    <col min="5137" max="5377" width="9.140625" style="462"/>
    <col min="5378" max="5378" width="14.42578125" style="462" customWidth="1"/>
    <col min="5379" max="5379" width="11.7109375" style="462" customWidth="1"/>
    <col min="5380" max="5380" width="12" style="462" customWidth="1"/>
    <col min="5381" max="5381" width="49.5703125" style="462" customWidth="1"/>
    <col min="5382" max="5382" width="44" style="462" customWidth="1"/>
    <col min="5383" max="5383" width="14.85546875" style="462" customWidth="1"/>
    <col min="5384" max="5385" width="18.7109375" style="462" customWidth="1"/>
    <col min="5386" max="5386" width="19.7109375" style="462" customWidth="1"/>
    <col min="5387" max="5387" width="14.28515625" style="462" customWidth="1"/>
    <col min="5388" max="5388" width="9.140625" style="462"/>
    <col min="5389" max="5389" width="10.85546875" style="462" bestFit="1" customWidth="1"/>
    <col min="5390" max="5390" width="19.140625" style="462" customWidth="1"/>
    <col min="5391" max="5391" width="18.5703125" style="462" customWidth="1"/>
    <col min="5392" max="5392" width="14.7109375" style="462" customWidth="1"/>
    <col min="5393" max="5633" width="9.140625" style="462"/>
    <col min="5634" max="5634" width="14.42578125" style="462" customWidth="1"/>
    <col min="5635" max="5635" width="11.7109375" style="462" customWidth="1"/>
    <col min="5636" max="5636" width="12" style="462" customWidth="1"/>
    <col min="5637" max="5637" width="49.5703125" style="462" customWidth="1"/>
    <col min="5638" max="5638" width="44" style="462" customWidth="1"/>
    <col min="5639" max="5639" width="14.85546875" style="462" customWidth="1"/>
    <col min="5640" max="5641" width="18.7109375" style="462" customWidth="1"/>
    <col min="5642" max="5642" width="19.7109375" style="462" customWidth="1"/>
    <col min="5643" max="5643" width="14.28515625" style="462" customWidth="1"/>
    <col min="5644" max="5644" width="9.140625" style="462"/>
    <col min="5645" max="5645" width="10.85546875" style="462" bestFit="1" customWidth="1"/>
    <col min="5646" max="5646" width="19.140625" style="462" customWidth="1"/>
    <col min="5647" max="5647" width="18.5703125" style="462" customWidth="1"/>
    <col min="5648" max="5648" width="14.7109375" style="462" customWidth="1"/>
    <col min="5649" max="5889" width="9.140625" style="462"/>
    <col min="5890" max="5890" width="14.42578125" style="462" customWidth="1"/>
    <col min="5891" max="5891" width="11.7109375" style="462" customWidth="1"/>
    <col min="5892" max="5892" width="12" style="462" customWidth="1"/>
    <col min="5893" max="5893" width="49.5703125" style="462" customWidth="1"/>
    <col min="5894" max="5894" width="44" style="462" customWidth="1"/>
    <col min="5895" max="5895" width="14.85546875" style="462" customWidth="1"/>
    <col min="5896" max="5897" width="18.7109375" style="462" customWidth="1"/>
    <col min="5898" max="5898" width="19.7109375" style="462" customWidth="1"/>
    <col min="5899" max="5899" width="14.28515625" style="462" customWidth="1"/>
    <col min="5900" max="5900" width="9.140625" style="462"/>
    <col min="5901" max="5901" width="10.85546875" style="462" bestFit="1" customWidth="1"/>
    <col min="5902" max="5902" width="19.140625" style="462" customWidth="1"/>
    <col min="5903" max="5903" width="18.5703125" style="462" customWidth="1"/>
    <col min="5904" max="5904" width="14.7109375" style="462" customWidth="1"/>
    <col min="5905" max="6145" width="9.140625" style="462"/>
    <col min="6146" max="6146" width="14.42578125" style="462" customWidth="1"/>
    <col min="6147" max="6147" width="11.7109375" style="462" customWidth="1"/>
    <col min="6148" max="6148" width="12" style="462" customWidth="1"/>
    <col min="6149" max="6149" width="49.5703125" style="462" customWidth="1"/>
    <col min="6150" max="6150" width="44" style="462" customWidth="1"/>
    <col min="6151" max="6151" width="14.85546875" style="462" customWidth="1"/>
    <col min="6152" max="6153" width="18.7109375" style="462" customWidth="1"/>
    <col min="6154" max="6154" width="19.7109375" style="462" customWidth="1"/>
    <col min="6155" max="6155" width="14.28515625" style="462" customWidth="1"/>
    <col min="6156" max="6156" width="9.140625" style="462"/>
    <col min="6157" max="6157" width="10.85546875" style="462" bestFit="1" customWidth="1"/>
    <col min="6158" max="6158" width="19.140625" style="462" customWidth="1"/>
    <col min="6159" max="6159" width="18.5703125" style="462" customWidth="1"/>
    <col min="6160" max="6160" width="14.7109375" style="462" customWidth="1"/>
    <col min="6161" max="6401" width="9.140625" style="462"/>
    <col min="6402" max="6402" width="14.42578125" style="462" customWidth="1"/>
    <col min="6403" max="6403" width="11.7109375" style="462" customWidth="1"/>
    <col min="6404" max="6404" width="12" style="462" customWidth="1"/>
    <col min="6405" max="6405" width="49.5703125" style="462" customWidth="1"/>
    <col min="6406" max="6406" width="44" style="462" customWidth="1"/>
    <col min="6407" max="6407" width="14.85546875" style="462" customWidth="1"/>
    <col min="6408" max="6409" width="18.7109375" style="462" customWidth="1"/>
    <col min="6410" max="6410" width="19.7109375" style="462" customWidth="1"/>
    <col min="6411" max="6411" width="14.28515625" style="462" customWidth="1"/>
    <col min="6412" max="6412" width="9.140625" style="462"/>
    <col min="6413" max="6413" width="10.85546875" style="462" bestFit="1" customWidth="1"/>
    <col min="6414" max="6414" width="19.140625" style="462" customWidth="1"/>
    <col min="6415" max="6415" width="18.5703125" style="462" customWidth="1"/>
    <col min="6416" max="6416" width="14.7109375" style="462" customWidth="1"/>
    <col min="6417" max="6657" width="9.140625" style="462"/>
    <col min="6658" max="6658" width="14.42578125" style="462" customWidth="1"/>
    <col min="6659" max="6659" width="11.7109375" style="462" customWidth="1"/>
    <col min="6660" max="6660" width="12" style="462" customWidth="1"/>
    <col min="6661" max="6661" width="49.5703125" style="462" customWidth="1"/>
    <col min="6662" max="6662" width="44" style="462" customWidth="1"/>
    <col min="6663" max="6663" width="14.85546875" style="462" customWidth="1"/>
    <col min="6664" max="6665" width="18.7109375" style="462" customWidth="1"/>
    <col min="6666" max="6666" width="19.7109375" style="462" customWidth="1"/>
    <col min="6667" max="6667" width="14.28515625" style="462" customWidth="1"/>
    <col min="6668" max="6668" width="9.140625" style="462"/>
    <col min="6669" max="6669" width="10.85546875" style="462" bestFit="1" customWidth="1"/>
    <col min="6670" max="6670" width="19.140625" style="462" customWidth="1"/>
    <col min="6671" max="6671" width="18.5703125" style="462" customWidth="1"/>
    <col min="6672" max="6672" width="14.7109375" style="462" customWidth="1"/>
    <col min="6673" max="6913" width="9.140625" style="462"/>
    <col min="6914" max="6914" width="14.42578125" style="462" customWidth="1"/>
    <col min="6915" max="6915" width="11.7109375" style="462" customWidth="1"/>
    <col min="6916" max="6916" width="12" style="462" customWidth="1"/>
    <col min="6917" max="6917" width="49.5703125" style="462" customWidth="1"/>
    <col min="6918" max="6918" width="44" style="462" customWidth="1"/>
    <col min="6919" max="6919" width="14.85546875" style="462" customWidth="1"/>
    <col min="6920" max="6921" width="18.7109375" style="462" customWidth="1"/>
    <col min="6922" max="6922" width="19.7109375" style="462" customWidth="1"/>
    <col min="6923" max="6923" width="14.28515625" style="462" customWidth="1"/>
    <col min="6924" max="6924" width="9.140625" style="462"/>
    <col min="6925" max="6925" width="10.85546875" style="462" bestFit="1" customWidth="1"/>
    <col min="6926" max="6926" width="19.140625" style="462" customWidth="1"/>
    <col min="6927" max="6927" width="18.5703125" style="462" customWidth="1"/>
    <col min="6928" max="6928" width="14.7109375" style="462" customWidth="1"/>
    <col min="6929" max="7169" width="9.140625" style="462"/>
    <col min="7170" max="7170" width="14.42578125" style="462" customWidth="1"/>
    <col min="7171" max="7171" width="11.7109375" style="462" customWidth="1"/>
    <col min="7172" max="7172" width="12" style="462" customWidth="1"/>
    <col min="7173" max="7173" width="49.5703125" style="462" customWidth="1"/>
    <col min="7174" max="7174" width="44" style="462" customWidth="1"/>
    <col min="7175" max="7175" width="14.85546875" style="462" customWidth="1"/>
    <col min="7176" max="7177" width="18.7109375" style="462" customWidth="1"/>
    <col min="7178" max="7178" width="19.7109375" style="462" customWidth="1"/>
    <col min="7179" max="7179" width="14.28515625" style="462" customWidth="1"/>
    <col min="7180" max="7180" width="9.140625" style="462"/>
    <col min="7181" max="7181" width="10.85546875" style="462" bestFit="1" customWidth="1"/>
    <col min="7182" max="7182" width="19.140625" style="462" customWidth="1"/>
    <col min="7183" max="7183" width="18.5703125" style="462" customWidth="1"/>
    <col min="7184" max="7184" width="14.7109375" style="462" customWidth="1"/>
    <col min="7185" max="7425" width="9.140625" style="462"/>
    <col min="7426" max="7426" width="14.42578125" style="462" customWidth="1"/>
    <col min="7427" max="7427" width="11.7109375" style="462" customWidth="1"/>
    <col min="7428" max="7428" width="12" style="462" customWidth="1"/>
    <col min="7429" max="7429" width="49.5703125" style="462" customWidth="1"/>
    <col min="7430" max="7430" width="44" style="462" customWidth="1"/>
    <col min="7431" max="7431" width="14.85546875" style="462" customWidth="1"/>
    <col min="7432" max="7433" width="18.7109375" style="462" customWidth="1"/>
    <col min="7434" max="7434" width="19.7109375" style="462" customWidth="1"/>
    <col min="7435" max="7435" width="14.28515625" style="462" customWidth="1"/>
    <col min="7436" max="7436" width="9.140625" style="462"/>
    <col min="7437" max="7437" width="10.85546875" style="462" bestFit="1" customWidth="1"/>
    <col min="7438" max="7438" width="19.140625" style="462" customWidth="1"/>
    <col min="7439" max="7439" width="18.5703125" style="462" customWidth="1"/>
    <col min="7440" max="7440" width="14.7109375" style="462" customWidth="1"/>
    <col min="7441" max="7681" width="9.140625" style="462"/>
    <col min="7682" max="7682" width="14.42578125" style="462" customWidth="1"/>
    <col min="7683" max="7683" width="11.7109375" style="462" customWidth="1"/>
    <col min="7684" max="7684" width="12" style="462" customWidth="1"/>
    <col min="7685" max="7685" width="49.5703125" style="462" customWidth="1"/>
    <col min="7686" max="7686" width="44" style="462" customWidth="1"/>
    <col min="7687" max="7687" width="14.85546875" style="462" customWidth="1"/>
    <col min="7688" max="7689" width="18.7109375" style="462" customWidth="1"/>
    <col min="7690" max="7690" width="19.7109375" style="462" customWidth="1"/>
    <col min="7691" max="7691" width="14.28515625" style="462" customWidth="1"/>
    <col min="7692" max="7692" width="9.140625" style="462"/>
    <col min="7693" max="7693" width="10.85546875" style="462" bestFit="1" customWidth="1"/>
    <col min="7694" max="7694" width="19.140625" style="462" customWidth="1"/>
    <col min="7695" max="7695" width="18.5703125" style="462" customWidth="1"/>
    <col min="7696" max="7696" width="14.7109375" style="462" customWidth="1"/>
    <col min="7697" max="7937" width="9.140625" style="462"/>
    <col min="7938" max="7938" width="14.42578125" style="462" customWidth="1"/>
    <col min="7939" max="7939" width="11.7109375" style="462" customWidth="1"/>
    <col min="7940" max="7940" width="12" style="462" customWidth="1"/>
    <col min="7941" max="7941" width="49.5703125" style="462" customWidth="1"/>
    <col min="7942" max="7942" width="44" style="462" customWidth="1"/>
    <col min="7943" max="7943" width="14.85546875" style="462" customWidth="1"/>
    <col min="7944" max="7945" width="18.7109375" style="462" customWidth="1"/>
    <col min="7946" max="7946" width="19.7109375" style="462" customWidth="1"/>
    <col min="7947" max="7947" width="14.28515625" style="462" customWidth="1"/>
    <col min="7948" max="7948" width="9.140625" style="462"/>
    <col min="7949" max="7949" width="10.85546875" style="462" bestFit="1" customWidth="1"/>
    <col min="7950" max="7950" width="19.140625" style="462" customWidth="1"/>
    <col min="7951" max="7951" width="18.5703125" style="462" customWidth="1"/>
    <col min="7952" max="7952" width="14.7109375" style="462" customWidth="1"/>
    <col min="7953" max="8193" width="9.140625" style="462"/>
    <col min="8194" max="8194" width="14.42578125" style="462" customWidth="1"/>
    <col min="8195" max="8195" width="11.7109375" style="462" customWidth="1"/>
    <col min="8196" max="8196" width="12" style="462" customWidth="1"/>
    <col min="8197" max="8197" width="49.5703125" style="462" customWidth="1"/>
    <col min="8198" max="8198" width="44" style="462" customWidth="1"/>
    <col min="8199" max="8199" width="14.85546875" style="462" customWidth="1"/>
    <col min="8200" max="8201" width="18.7109375" style="462" customWidth="1"/>
    <col min="8202" max="8202" width="19.7109375" style="462" customWidth="1"/>
    <col min="8203" max="8203" width="14.28515625" style="462" customWidth="1"/>
    <col min="8204" max="8204" width="9.140625" style="462"/>
    <col min="8205" max="8205" width="10.85546875" style="462" bestFit="1" customWidth="1"/>
    <col min="8206" max="8206" width="19.140625" style="462" customWidth="1"/>
    <col min="8207" max="8207" width="18.5703125" style="462" customWidth="1"/>
    <col min="8208" max="8208" width="14.7109375" style="462" customWidth="1"/>
    <col min="8209" max="8449" width="9.140625" style="462"/>
    <col min="8450" max="8450" width="14.42578125" style="462" customWidth="1"/>
    <col min="8451" max="8451" width="11.7109375" style="462" customWidth="1"/>
    <col min="8452" max="8452" width="12" style="462" customWidth="1"/>
    <col min="8453" max="8453" width="49.5703125" style="462" customWidth="1"/>
    <col min="8454" max="8454" width="44" style="462" customWidth="1"/>
    <col min="8455" max="8455" width="14.85546875" style="462" customWidth="1"/>
    <col min="8456" max="8457" width="18.7109375" style="462" customWidth="1"/>
    <col min="8458" max="8458" width="19.7109375" style="462" customWidth="1"/>
    <col min="8459" max="8459" width="14.28515625" style="462" customWidth="1"/>
    <col min="8460" max="8460" width="9.140625" style="462"/>
    <col min="8461" max="8461" width="10.85546875" style="462" bestFit="1" customWidth="1"/>
    <col min="8462" max="8462" width="19.140625" style="462" customWidth="1"/>
    <col min="8463" max="8463" width="18.5703125" style="462" customWidth="1"/>
    <col min="8464" max="8464" width="14.7109375" style="462" customWidth="1"/>
    <col min="8465" max="8705" width="9.140625" style="462"/>
    <col min="8706" max="8706" width="14.42578125" style="462" customWidth="1"/>
    <col min="8707" max="8707" width="11.7109375" style="462" customWidth="1"/>
    <col min="8708" max="8708" width="12" style="462" customWidth="1"/>
    <col min="8709" max="8709" width="49.5703125" style="462" customWidth="1"/>
    <col min="8710" max="8710" width="44" style="462" customWidth="1"/>
    <col min="8711" max="8711" width="14.85546875" style="462" customWidth="1"/>
    <col min="8712" max="8713" width="18.7109375" style="462" customWidth="1"/>
    <col min="8714" max="8714" width="19.7109375" style="462" customWidth="1"/>
    <col min="8715" max="8715" width="14.28515625" style="462" customWidth="1"/>
    <col min="8716" max="8716" width="9.140625" style="462"/>
    <col min="8717" max="8717" width="10.85546875" style="462" bestFit="1" customWidth="1"/>
    <col min="8718" max="8718" width="19.140625" style="462" customWidth="1"/>
    <col min="8719" max="8719" width="18.5703125" style="462" customWidth="1"/>
    <col min="8720" max="8720" width="14.7109375" style="462" customWidth="1"/>
    <col min="8721" max="8961" width="9.140625" style="462"/>
    <col min="8962" max="8962" width="14.42578125" style="462" customWidth="1"/>
    <col min="8963" max="8963" width="11.7109375" style="462" customWidth="1"/>
    <col min="8964" max="8964" width="12" style="462" customWidth="1"/>
    <col min="8965" max="8965" width="49.5703125" style="462" customWidth="1"/>
    <col min="8966" max="8966" width="44" style="462" customWidth="1"/>
    <col min="8967" max="8967" width="14.85546875" style="462" customWidth="1"/>
    <col min="8968" max="8969" width="18.7109375" style="462" customWidth="1"/>
    <col min="8970" max="8970" width="19.7109375" style="462" customWidth="1"/>
    <col min="8971" max="8971" width="14.28515625" style="462" customWidth="1"/>
    <col min="8972" max="8972" width="9.140625" style="462"/>
    <col min="8973" max="8973" width="10.85546875" style="462" bestFit="1" customWidth="1"/>
    <col min="8974" max="8974" width="19.140625" style="462" customWidth="1"/>
    <col min="8975" max="8975" width="18.5703125" style="462" customWidth="1"/>
    <col min="8976" max="8976" width="14.7109375" style="462" customWidth="1"/>
    <col min="8977" max="9217" width="9.140625" style="462"/>
    <col min="9218" max="9218" width="14.42578125" style="462" customWidth="1"/>
    <col min="9219" max="9219" width="11.7109375" style="462" customWidth="1"/>
    <col min="9220" max="9220" width="12" style="462" customWidth="1"/>
    <col min="9221" max="9221" width="49.5703125" style="462" customWidth="1"/>
    <col min="9222" max="9222" width="44" style="462" customWidth="1"/>
    <col min="9223" max="9223" width="14.85546875" style="462" customWidth="1"/>
    <col min="9224" max="9225" width="18.7109375" style="462" customWidth="1"/>
    <col min="9226" max="9226" width="19.7109375" style="462" customWidth="1"/>
    <col min="9227" max="9227" width="14.28515625" style="462" customWidth="1"/>
    <col min="9228" max="9228" width="9.140625" style="462"/>
    <col min="9229" max="9229" width="10.85546875" style="462" bestFit="1" customWidth="1"/>
    <col min="9230" max="9230" width="19.140625" style="462" customWidth="1"/>
    <col min="9231" max="9231" width="18.5703125" style="462" customWidth="1"/>
    <col min="9232" max="9232" width="14.7109375" style="462" customWidth="1"/>
    <col min="9233" max="9473" width="9.140625" style="462"/>
    <col min="9474" max="9474" width="14.42578125" style="462" customWidth="1"/>
    <col min="9475" max="9475" width="11.7109375" style="462" customWidth="1"/>
    <col min="9476" max="9476" width="12" style="462" customWidth="1"/>
    <col min="9477" max="9477" width="49.5703125" style="462" customWidth="1"/>
    <col min="9478" max="9478" width="44" style="462" customWidth="1"/>
    <col min="9479" max="9479" width="14.85546875" style="462" customWidth="1"/>
    <col min="9480" max="9481" width="18.7109375" style="462" customWidth="1"/>
    <col min="9482" max="9482" width="19.7109375" style="462" customWidth="1"/>
    <col min="9483" max="9483" width="14.28515625" style="462" customWidth="1"/>
    <col min="9484" max="9484" width="9.140625" style="462"/>
    <col min="9485" max="9485" width="10.85546875" style="462" bestFit="1" customWidth="1"/>
    <col min="9486" max="9486" width="19.140625" style="462" customWidth="1"/>
    <col min="9487" max="9487" width="18.5703125" style="462" customWidth="1"/>
    <col min="9488" max="9488" width="14.7109375" style="462" customWidth="1"/>
    <col min="9489" max="9729" width="9.140625" style="462"/>
    <col min="9730" max="9730" width="14.42578125" style="462" customWidth="1"/>
    <col min="9731" max="9731" width="11.7109375" style="462" customWidth="1"/>
    <col min="9732" max="9732" width="12" style="462" customWidth="1"/>
    <col min="9733" max="9733" width="49.5703125" style="462" customWidth="1"/>
    <col min="9734" max="9734" width="44" style="462" customWidth="1"/>
    <col min="9735" max="9735" width="14.85546875" style="462" customWidth="1"/>
    <col min="9736" max="9737" width="18.7109375" style="462" customWidth="1"/>
    <col min="9738" max="9738" width="19.7109375" style="462" customWidth="1"/>
    <col min="9739" max="9739" width="14.28515625" style="462" customWidth="1"/>
    <col min="9740" max="9740" width="9.140625" style="462"/>
    <col min="9741" max="9741" width="10.85546875" style="462" bestFit="1" customWidth="1"/>
    <col min="9742" max="9742" width="19.140625" style="462" customWidth="1"/>
    <col min="9743" max="9743" width="18.5703125" style="462" customWidth="1"/>
    <col min="9744" max="9744" width="14.7109375" style="462" customWidth="1"/>
    <col min="9745" max="9985" width="9.140625" style="462"/>
    <col min="9986" max="9986" width="14.42578125" style="462" customWidth="1"/>
    <col min="9987" max="9987" width="11.7109375" style="462" customWidth="1"/>
    <col min="9988" max="9988" width="12" style="462" customWidth="1"/>
    <col min="9989" max="9989" width="49.5703125" style="462" customWidth="1"/>
    <col min="9990" max="9990" width="44" style="462" customWidth="1"/>
    <col min="9991" max="9991" width="14.85546875" style="462" customWidth="1"/>
    <col min="9992" max="9993" width="18.7109375" style="462" customWidth="1"/>
    <col min="9994" max="9994" width="19.7109375" style="462" customWidth="1"/>
    <col min="9995" max="9995" width="14.28515625" style="462" customWidth="1"/>
    <col min="9996" max="9996" width="9.140625" style="462"/>
    <col min="9997" max="9997" width="10.85546875" style="462" bestFit="1" customWidth="1"/>
    <col min="9998" max="9998" width="19.140625" style="462" customWidth="1"/>
    <col min="9999" max="9999" width="18.5703125" style="462" customWidth="1"/>
    <col min="10000" max="10000" width="14.7109375" style="462" customWidth="1"/>
    <col min="10001" max="10241" width="9.140625" style="462"/>
    <col min="10242" max="10242" width="14.42578125" style="462" customWidth="1"/>
    <col min="10243" max="10243" width="11.7109375" style="462" customWidth="1"/>
    <col min="10244" max="10244" width="12" style="462" customWidth="1"/>
    <col min="10245" max="10245" width="49.5703125" style="462" customWidth="1"/>
    <col min="10246" max="10246" width="44" style="462" customWidth="1"/>
    <col min="10247" max="10247" width="14.85546875" style="462" customWidth="1"/>
    <col min="10248" max="10249" width="18.7109375" style="462" customWidth="1"/>
    <col min="10250" max="10250" width="19.7109375" style="462" customWidth="1"/>
    <col min="10251" max="10251" width="14.28515625" style="462" customWidth="1"/>
    <col min="10252" max="10252" width="9.140625" style="462"/>
    <col min="10253" max="10253" width="10.85546875" style="462" bestFit="1" customWidth="1"/>
    <col min="10254" max="10254" width="19.140625" style="462" customWidth="1"/>
    <col min="10255" max="10255" width="18.5703125" style="462" customWidth="1"/>
    <col min="10256" max="10256" width="14.7109375" style="462" customWidth="1"/>
    <col min="10257" max="10497" width="9.140625" style="462"/>
    <col min="10498" max="10498" width="14.42578125" style="462" customWidth="1"/>
    <col min="10499" max="10499" width="11.7109375" style="462" customWidth="1"/>
    <col min="10500" max="10500" width="12" style="462" customWidth="1"/>
    <col min="10501" max="10501" width="49.5703125" style="462" customWidth="1"/>
    <col min="10502" max="10502" width="44" style="462" customWidth="1"/>
    <col min="10503" max="10503" width="14.85546875" style="462" customWidth="1"/>
    <col min="10504" max="10505" width="18.7109375" style="462" customWidth="1"/>
    <col min="10506" max="10506" width="19.7109375" style="462" customWidth="1"/>
    <col min="10507" max="10507" width="14.28515625" style="462" customWidth="1"/>
    <col min="10508" max="10508" width="9.140625" style="462"/>
    <col min="10509" max="10509" width="10.85546875" style="462" bestFit="1" customWidth="1"/>
    <col min="10510" max="10510" width="19.140625" style="462" customWidth="1"/>
    <col min="10511" max="10511" width="18.5703125" style="462" customWidth="1"/>
    <col min="10512" max="10512" width="14.7109375" style="462" customWidth="1"/>
    <col min="10513" max="10753" width="9.140625" style="462"/>
    <col min="10754" max="10754" width="14.42578125" style="462" customWidth="1"/>
    <col min="10755" max="10755" width="11.7109375" style="462" customWidth="1"/>
    <col min="10756" max="10756" width="12" style="462" customWidth="1"/>
    <col min="10757" max="10757" width="49.5703125" style="462" customWidth="1"/>
    <col min="10758" max="10758" width="44" style="462" customWidth="1"/>
    <col min="10759" max="10759" width="14.85546875" style="462" customWidth="1"/>
    <col min="10760" max="10761" width="18.7109375" style="462" customWidth="1"/>
    <col min="10762" max="10762" width="19.7109375" style="462" customWidth="1"/>
    <col min="10763" max="10763" width="14.28515625" style="462" customWidth="1"/>
    <col min="10764" max="10764" width="9.140625" style="462"/>
    <col min="10765" max="10765" width="10.85546875" style="462" bestFit="1" customWidth="1"/>
    <col min="10766" max="10766" width="19.140625" style="462" customWidth="1"/>
    <col min="10767" max="10767" width="18.5703125" style="462" customWidth="1"/>
    <col min="10768" max="10768" width="14.7109375" style="462" customWidth="1"/>
    <col min="10769" max="11009" width="9.140625" style="462"/>
    <col min="11010" max="11010" width="14.42578125" style="462" customWidth="1"/>
    <col min="11011" max="11011" width="11.7109375" style="462" customWidth="1"/>
    <col min="11012" max="11012" width="12" style="462" customWidth="1"/>
    <col min="11013" max="11013" width="49.5703125" style="462" customWidth="1"/>
    <col min="11014" max="11014" width="44" style="462" customWidth="1"/>
    <col min="11015" max="11015" width="14.85546875" style="462" customWidth="1"/>
    <col min="11016" max="11017" width="18.7109375" style="462" customWidth="1"/>
    <col min="11018" max="11018" width="19.7109375" style="462" customWidth="1"/>
    <col min="11019" max="11019" width="14.28515625" style="462" customWidth="1"/>
    <col min="11020" max="11020" width="9.140625" style="462"/>
    <col min="11021" max="11021" width="10.85546875" style="462" bestFit="1" customWidth="1"/>
    <col min="11022" max="11022" width="19.140625" style="462" customWidth="1"/>
    <col min="11023" max="11023" width="18.5703125" style="462" customWidth="1"/>
    <col min="11024" max="11024" width="14.7109375" style="462" customWidth="1"/>
    <col min="11025" max="11265" width="9.140625" style="462"/>
    <col min="11266" max="11266" width="14.42578125" style="462" customWidth="1"/>
    <col min="11267" max="11267" width="11.7109375" style="462" customWidth="1"/>
    <col min="11268" max="11268" width="12" style="462" customWidth="1"/>
    <col min="11269" max="11269" width="49.5703125" style="462" customWidth="1"/>
    <col min="11270" max="11270" width="44" style="462" customWidth="1"/>
    <col min="11271" max="11271" width="14.85546875" style="462" customWidth="1"/>
    <col min="11272" max="11273" width="18.7109375" style="462" customWidth="1"/>
    <col min="11274" max="11274" width="19.7109375" style="462" customWidth="1"/>
    <col min="11275" max="11275" width="14.28515625" style="462" customWidth="1"/>
    <col min="11276" max="11276" width="9.140625" style="462"/>
    <col min="11277" max="11277" width="10.85546875" style="462" bestFit="1" customWidth="1"/>
    <col min="11278" max="11278" width="19.140625" style="462" customWidth="1"/>
    <col min="11279" max="11279" width="18.5703125" style="462" customWidth="1"/>
    <col min="11280" max="11280" width="14.7109375" style="462" customWidth="1"/>
    <col min="11281" max="11521" width="9.140625" style="462"/>
    <col min="11522" max="11522" width="14.42578125" style="462" customWidth="1"/>
    <col min="11523" max="11523" width="11.7109375" style="462" customWidth="1"/>
    <col min="11524" max="11524" width="12" style="462" customWidth="1"/>
    <col min="11525" max="11525" width="49.5703125" style="462" customWidth="1"/>
    <col min="11526" max="11526" width="44" style="462" customWidth="1"/>
    <col min="11527" max="11527" width="14.85546875" style="462" customWidth="1"/>
    <col min="11528" max="11529" width="18.7109375" style="462" customWidth="1"/>
    <col min="11530" max="11530" width="19.7109375" style="462" customWidth="1"/>
    <col min="11531" max="11531" width="14.28515625" style="462" customWidth="1"/>
    <col min="11532" max="11532" width="9.140625" style="462"/>
    <col min="11533" max="11533" width="10.85546875" style="462" bestFit="1" customWidth="1"/>
    <col min="11534" max="11534" width="19.140625" style="462" customWidth="1"/>
    <col min="11535" max="11535" width="18.5703125" style="462" customWidth="1"/>
    <col min="11536" max="11536" width="14.7109375" style="462" customWidth="1"/>
    <col min="11537" max="11777" width="9.140625" style="462"/>
    <col min="11778" max="11778" width="14.42578125" style="462" customWidth="1"/>
    <col min="11779" max="11779" width="11.7109375" style="462" customWidth="1"/>
    <col min="11780" max="11780" width="12" style="462" customWidth="1"/>
    <col min="11781" max="11781" width="49.5703125" style="462" customWidth="1"/>
    <col min="11782" max="11782" width="44" style="462" customWidth="1"/>
    <col min="11783" max="11783" width="14.85546875" style="462" customWidth="1"/>
    <col min="11784" max="11785" width="18.7109375" style="462" customWidth="1"/>
    <col min="11786" max="11786" width="19.7109375" style="462" customWidth="1"/>
    <col min="11787" max="11787" width="14.28515625" style="462" customWidth="1"/>
    <col min="11788" max="11788" width="9.140625" style="462"/>
    <col min="11789" max="11789" width="10.85546875" style="462" bestFit="1" customWidth="1"/>
    <col min="11790" max="11790" width="19.140625" style="462" customWidth="1"/>
    <col min="11791" max="11791" width="18.5703125" style="462" customWidth="1"/>
    <col min="11792" max="11792" width="14.7109375" style="462" customWidth="1"/>
    <col min="11793" max="12033" width="9.140625" style="462"/>
    <col min="12034" max="12034" width="14.42578125" style="462" customWidth="1"/>
    <col min="12035" max="12035" width="11.7109375" style="462" customWidth="1"/>
    <col min="12036" max="12036" width="12" style="462" customWidth="1"/>
    <col min="12037" max="12037" width="49.5703125" style="462" customWidth="1"/>
    <col min="12038" max="12038" width="44" style="462" customWidth="1"/>
    <col min="12039" max="12039" width="14.85546875" style="462" customWidth="1"/>
    <col min="12040" max="12041" width="18.7109375" style="462" customWidth="1"/>
    <col min="12042" max="12042" width="19.7109375" style="462" customWidth="1"/>
    <col min="12043" max="12043" width="14.28515625" style="462" customWidth="1"/>
    <col min="12044" max="12044" width="9.140625" style="462"/>
    <col min="12045" max="12045" width="10.85546875" style="462" bestFit="1" customWidth="1"/>
    <col min="12046" max="12046" width="19.140625" style="462" customWidth="1"/>
    <col min="12047" max="12047" width="18.5703125" style="462" customWidth="1"/>
    <col min="12048" max="12048" width="14.7109375" style="462" customWidth="1"/>
    <col min="12049" max="12289" width="9.140625" style="462"/>
    <col min="12290" max="12290" width="14.42578125" style="462" customWidth="1"/>
    <col min="12291" max="12291" width="11.7109375" style="462" customWidth="1"/>
    <col min="12292" max="12292" width="12" style="462" customWidth="1"/>
    <col min="12293" max="12293" width="49.5703125" style="462" customWidth="1"/>
    <col min="12294" max="12294" width="44" style="462" customWidth="1"/>
    <col min="12295" max="12295" width="14.85546875" style="462" customWidth="1"/>
    <col min="12296" max="12297" width="18.7109375" style="462" customWidth="1"/>
    <col min="12298" max="12298" width="19.7109375" style="462" customWidth="1"/>
    <col min="12299" max="12299" width="14.28515625" style="462" customWidth="1"/>
    <col min="12300" max="12300" width="9.140625" style="462"/>
    <col min="12301" max="12301" width="10.85546875" style="462" bestFit="1" customWidth="1"/>
    <col min="12302" max="12302" width="19.140625" style="462" customWidth="1"/>
    <col min="12303" max="12303" width="18.5703125" style="462" customWidth="1"/>
    <col min="12304" max="12304" width="14.7109375" style="462" customWidth="1"/>
    <col min="12305" max="12545" width="9.140625" style="462"/>
    <col min="12546" max="12546" width="14.42578125" style="462" customWidth="1"/>
    <col min="12547" max="12547" width="11.7109375" style="462" customWidth="1"/>
    <col min="12548" max="12548" width="12" style="462" customWidth="1"/>
    <col min="12549" max="12549" width="49.5703125" style="462" customWidth="1"/>
    <col min="12550" max="12550" width="44" style="462" customWidth="1"/>
    <col min="12551" max="12551" width="14.85546875" style="462" customWidth="1"/>
    <col min="12552" max="12553" width="18.7109375" style="462" customWidth="1"/>
    <col min="12554" max="12554" width="19.7109375" style="462" customWidth="1"/>
    <col min="12555" max="12555" width="14.28515625" style="462" customWidth="1"/>
    <col min="12556" max="12556" width="9.140625" style="462"/>
    <col min="12557" max="12557" width="10.85546875" style="462" bestFit="1" customWidth="1"/>
    <col min="12558" max="12558" width="19.140625" style="462" customWidth="1"/>
    <col min="12559" max="12559" width="18.5703125" style="462" customWidth="1"/>
    <col min="12560" max="12560" width="14.7109375" style="462" customWidth="1"/>
    <col min="12561" max="12801" width="9.140625" style="462"/>
    <col min="12802" max="12802" width="14.42578125" style="462" customWidth="1"/>
    <col min="12803" max="12803" width="11.7109375" style="462" customWidth="1"/>
    <col min="12804" max="12804" width="12" style="462" customWidth="1"/>
    <col min="12805" max="12805" width="49.5703125" style="462" customWidth="1"/>
    <col min="12806" max="12806" width="44" style="462" customWidth="1"/>
    <col min="12807" max="12807" width="14.85546875" style="462" customWidth="1"/>
    <col min="12808" max="12809" width="18.7109375" style="462" customWidth="1"/>
    <col min="12810" max="12810" width="19.7109375" style="462" customWidth="1"/>
    <col min="12811" max="12811" width="14.28515625" style="462" customWidth="1"/>
    <col min="12812" max="12812" width="9.140625" style="462"/>
    <col min="12813" max="12813" width="10.85546875" style="462" bestFit="1" customWidth="1"/>
    <col min="12814" max="12814" width="19.140625" style="462" customWidth="1"/>
    <col min="12815" max="12815" width="18.5703125" style="462" customWidth="1"/>
    <col min="12816" max="12816" width="14.7109375" style="462" customWidth="1"/>
    <col min="12817" max="13057" width="9.140625" style="462"/>
    <col min="13058" max="13058" width="14.42578125" style="462" customWidth="1"/>
    <col min="13059" max="13059" width="11.7109375" style="462" customWidth="1"/>
    <col min="13060" max="13060" width="12" style="462" customWidth="1"/>
    <col min="13061" max="13061" width="49.5703125" style="462" customWidth="1"/>
    <col min="13062" max="13062" width="44" style="462" customWidth="1"/>
    <col min="13063" max="13063" width="14.85546875" style="462" customWidth="1"/>
    <col min="13064" max="13065" width="18.7109375" style="462" customWidth="1"/>
    <col min="13066" max="13066" width="19.7109375" style="462" customWidth="1"/>
    <col min="13067" max="13067" width="14.28515625" style="462" customWidth="1"/>
    <col min="13068" max="13068" width="9.140625" style="462"/>
    <col min="13069" max="13069" width="10.85546875" style="462" bestFit="1" customWidth="1"/>
    <col min="13070" max="13070" width="19.140625" style="462" customWidth="1"/>
    <col min="13071" max="13071" width="18.5703125" style="462" customWidth="1"/>
    <col min="13072" max="13072" width="14.7109375" style="462" customWidth="1"/>
    <col min="13073" max="13313" width="9.140625" style="462"/>
    <col min="13314" max="13314" width="14.42578125" style="462" customWidth="1"/>
    <col min="13315" max="13315" width="11.7109375" style="462" customWidth="1"/>
    <col min="13316" max="13316" width="12" style="462" customWidth="1"/>
    <col min="13317" max="13317" width="49.5703125" style="462" customWidth="1"/>
    <col min="13318" max="13318" width="44" style="462" customWidth="1"/>
    <col min="13319" max="13319" width="14.85546875" style="462" customWidth="1"/>
    <col min="13320" max="13321" width="18.7109375" style="462" customWidth="1"/>
    <col min="13322" max="13322" width="19.7109375" style="462" customWidth="1"/>
    <col min="13323" max="13323" width="14.28515625" style="462" customWidth="1"/>
    <col min="13324" max="13324" width="9.140625" style="462"/>
    <col min="13325" max="13325" width="10.85546875" style="462" bestFit="1" customWidth="1"/>
    <col min="13326" max="13326" width="19.140625" style="462" customWidth="1"/>
    <col min="13327" max="13327" width="18.5703125" style="462" customWidth="1"/>
    <col min="13328" max="13328" width="14.7109375" style="462" customWidth="1"/>
    <col min="13329" max="13569" width="9.140625" style="462"/>
    <col min="13570" max="13570" width="14.42578125" style="462" customWidth="1"/>
    <col min="13571" max="13571" width="11.7109375" style="462" customWidth="1"/>
    <col min="13572" max="13572" width="12" style="462" customWidth="1"/>
    <col min="13573" max="13573" width="49.5703125" style="462" customWidth="1"/>
    <col min="13574" max="13574" width="44" style="462" customWidth="1"/>
    <col min="13575" max="13575" width="14.85546875" style="462" customWidth="1"/>
    <col min="13576" max="13577" width="18.7109375" style="462" customWidth="1"/>
    <col min="13578" max="13578" width="19.7109375" style="462" customWidth="1"/>
    <col min="13579" max="13579" width="14.28515625" style="462" customWidth="1"/>
    <col min="13580" max="13580" width="9.140625" style="462"/>
    <col min="13581" max="13581" width="10.85546875" style="462" bestFit="1" customWidth="1"/>
    <col min="13582" max="13582" width="19.140625" style="462" customWidth="1"/>
    <col min="13583" max="13583" width="18.5703125" style="462" customWidth="1"/>
    <col min="13584" max="13584" width="14.7109375" style="462" customWidth="1"/>
    <col min="13585" max="13825" width="9.140625" style="462"/>
    <col min="13826" max="13826" width="14.42578125" style="462" customWidth="1"/>
    <col min="13827" max="13827" width="11.7109375" style="462" customWidth="1"/>
    <col min="13828" max="13828" width="12" style="462" customWidth="1"/>
    <col min="13829" max="13829" width="49.5703125" style="462" customWidth="1"/>
    <col min="13830" max="13830" width="44" style="462" customWidth="1"/>
    <col min="13831" max="13831" width="14.85546875" style="462" customWidth="1"/>
    <col min="13832" max="13833" width="18.7109375" style="462" customWidth="1"/>
    <col min="13834" max="13834" width="19.7109375" style="462" customWidth="1"/>
    <col min="13835" max="13835" width="14.28515625" style="462" customWidth="1"/>
    <col min="13836" max="13836" width="9.140625" style="462"/>
    <col min="13837" max="13837" width="10.85546875" style="462" bestFit="1" customWidth="1"/>
    <col min="13838" max="13838" width="19.140625" style="462" customWidth="1"/>
    <col min="13839" max="13839" width="18.5703125" style="462" customWidth="1"/>
    <col min="13840" max="13840" width="14.7109375" style="462" customWidth="1"/>
    <col min="13841" max="14081" width="9.140625" style="462"/>
    <col min="14082" max="14082" width="14.42578125" style="462" customWidth="1"/>
    <col min="14083" max="14083" width="11.7109375" style="462" customWidth="1"/>
    <col min="14084" max="14084" width="12" style="462" customWidth="1"/>
    <col min="14085" max="14085" width="49.5703125" style="462" customWidth="1"/>
    <col min="14086" max="14086" width="44" style="462" customWidth="1"/>
    <col min="14087" max="14087" width="14.85546875" style="462" customWidth="1"/>
    <col min="14088" max="14089" width="18.7109375" style="462" customWidth="1"/>
    <col min="14090" max="14090" width="19.7109375" style="462" customWidth="1"/>
    <col min="14091" max="14091" width="14.28515625" style="462" customWidth="1"/>
    <col min="14092" max="14092" width="9.140625" style="462"/>
    <col min="14093" max="14093" width="10.85546875" style="462" bestFit="1" customWidth="1"/>
    <col min="14094" max="14094" width="19.140625" style="462" customWidth="1"/>
    <col min="14095" max="14095" width="18.5703125" style="462" customWidth="1"/>
    <col min="14096" max="14096" width="14.7109375" style="462" customWidth="1"/>
    <col min="14097" max="14337" width="9.140625" style="462"/>
    <col min="14338" max="14338" width="14.42578125" style="462" customWidth="1"/>
    <col min="14339" max="14339" width="11.7109375" style="462" customWidth="1"/>
    <col min="14340" max="14340" width="12" style="462" customWidth="1"/>
    <col min="14341" max="14341" width="49.5703125" style="462" customWidth="1"/>
    <col min="14342" max="14342" width="44" style="462" customWidth="1"/>
    <col min="14343" max="14343" width="14.85546875" style="462" customWidth="1"/>
    <col min="14344" max="14345" width="18.7109375" style="462" customWidth="1"/>
    <col min="14346" max="14346" width="19.7109375" style="462" customWidth="1"/>
    <col min="14347" max="14347" width="14.28515625" style="462" customWidth="1"/>
    <col min="14348" max="14348" width="9.140625" style="462"/>
    <col min="14349" max="14349" width="10.85546875" style="462" bestFit="1" customWidth="1"/>
    <col min="14350" max="14350" width="19.140625" style="462" customWidth="1"/>
    <col min="14351" max="14351" width="18.5703125" style="462" customWidth="1"/>
    <col min="14352" max="14352" width="14.7109375" style="462" customWidth="1"/>
    <col min="14353" max="14593" width="9.140625" style="462"/>
    <col min="14594" max="14594" width="14.42578125" style="462" customWidth="1"/>
    <col min="14595" max="14595" width="11.7109375" style="462" customWidth="1"/>
    <col min="14596" max="14596" width="12" style="462" customWidth="1"/>
    <col min="14597" max="14597" width="49.5703125" style="462" customWidth="1"/>
    <col min="14598" max="14598" width="44" style="462" customWidth="1"/>
    <col min="14599" max="14599" width="14.85546875" style="462" customWidth="1"/>
    <col min="14600" max="14601" width="18.7109375" style="462" customWidth="1"/>
    <col min="14602" max="14602" width="19.7109375" style="462" customWidth="1"/>
    <col min="14603" max="14603" width="14.28515625" style="462" customWidth="1"/>
    <col min="14604" max="14604" width="9.140625" style="462"/>
    <col min="14605" max="14605" width="10.85546875" style="462" bestFit="1" customWidth="1"/>
    <col min="14606" max="14606" width="19.140625" style="462" customWidth="1"/>
    <col min="14607" max="14607" width="18.5703125" style="462" customWidth="1"/>
    <col min="14608" max="14608" width="14.7109375" style="462" customWidth="1"/>
    <col min="14609" max="14849" width="9.140625" style="462"/>
    <col min="14850" max="14850" width="14.42578125" style="462" customWidth="1"/>
    <col min="14851" max="14851" width="11.7109375" style="462" customWidth="1"/>
    <col min="14852" max="14852" width="12" style="462" customWidth="1"/>
    <col min="14853" max="14853" width="49.5703125" style="462" customWidth="1"/>
    <col min="14854" max="14854" width="44" style="462" customWidth="1"/>
    <col min="14855" max="14855" width="14.85546875" style="462" customWidth="1"/>
    <col min="14856" max="14857" width="18.7109375" style="462" customWidth="1"/>
    <col min="14858" max="14858" width="19.7109375" style="462" customWidth="1"/>
    <col min="14859" max="14859" width="14.28515625" style="462" customWidth="1"/>
    <col min="14860" max="14860" width="9.140625" style="462"/>
    <col min="14861" max="14861" width="10.85546875" style="462" bestFit="1" customWidth="1"/>
    <col min="14862" max="14862" width="19.140625" style="462" customWidth="1"/>
    <col min="14863" max="14863" width="18.5703125" style="462" customWidth="1"/>
    <col min="14864" max="14864" width="14.7109375" style="462" customWidth="1"/>
    <col min="14865" max="15105" width="9.140625" style="462"/>
    <col min="15106" max="15106" width="14.42578125" style="462" customWidth="1"/>
    <col min="15107" max="15107" width="11.7109375" style="462" customWidth="1"/>
    <col min="15108" max="15108" width="12" style="462" customWidth="1"/>
    <col min="15109" max="15109" width="49.5703125" style="462" customWidth="1"/>
    <col min="15110" max="15110" width="44" style="462" customWidth="1"/>
    <col min="15111" max="15111" width="14.85546875" style="462" customWidth="1"/>
    <col min="15112" max="15113" width="18.7109375" style="462" customWidth="1"/>
    <col min="15114" max="15114" width="19.7109375" style="462" customWidth="1"/>
    <col min="15115" max="15115" width="14.28515625" style="462" customWidth="1"/>
    <col min="15116" max="15116" width="9.140625" style="462"/>
    <col min="15117" max="15117" width="10.85546875" style="462" bestFit="1" customWidth="1"/>
    <col min="15118" max="15118" width="19.140625" style="462" customWidth="1"/>
    <col min="15119" max="15119" width="18.5703125" style="462" customWidth="1"/>
    <col min="15120" max="15120" width="14.7109375" style="462" customWidth="1"/>
    <col min="15121" max="15361" width="9.140625" style="462"/>
    <col min="15362" max="15362" width="14.42578125" style="462" customWidth="1"/>
    <col min="15363" max="15363" width="11.7109375" style="462" customWidth="1"/>
    <col min="15364" max="15364" width="12" style="462" customWidth="1"/>
    <col min="15365" max="15365" width="49.5703125" style="462" customWidth="1"/>
    <col min="15366" max="15366" width="44" style="462" customWidth="1"/>
    <col min="15367" max="15367" width="14.85546875" style="462" customWidth="1"/>
    <col min="15368" max="15369" width="18.7109375" style="462" customWidth="1"/>
    <col min="15370" max="15370" width="19.7109375" style="462" customWidth="1"/>
    <col min="15371" max="15371" width="14.28515625" style="462" customWidth="1"/>
    <col min="15372" max="15372" width="9.140625" style="462"/>
    <col min="15373" max="15373" width="10.85546875" style="462" bestFit="1" customWidth="1"/>
    <col min="15374" max="15374" width="19.140625" style="462" customWidth="1"/>
    <col min="15375" max="15375" width="18.5703125" style="462" customWidth="1"/>
    <col min="15376" max="15376" width="14.7109375" style="462" customWidth="1"/>
    <col min="15377" max="15617" width="9.140625" style="462"/>
    <col min="15618" max="15618" width="14.42578125" style="462" customWidth="1"/>
    <col min="15619" max="15619" width="11.7109375" style="462" customWidth="1"/>
    <col min="15620" max="15620" width="12" style="462" customWidth="1"/>
    <col min="15621" max="15621" width="49.5703125" style="462" customWidth="1"/>
    <col min="15622" max="15622" width="44" style="462" customWidth="1"/>
    <col min="15623" max="15623" width="14.85546875" style="462" customWidth="1"/>
    <col min="15624" max="15625" width="18.7109375" style="462" customWidth="1"/>
    <col min="15626" max="15626" width="19.7109375" style="462" customWidth="1"/>
    <col min="15627" max="15627" width="14.28515625" style="462" customWidth="1"/>
    <col min="15628" max="15628" width="9.140625" style="462"/>
    <col min="15629" max="15629" width="10.85546875" style="462" bestFit="1" customWidth="1"/>
    <col min="15630" max="15630" width="19.140625" style="462" customWidth="1"/>
    <col min="15631" max="15631" width="18.5703125" style="462" customWidth="1"/>
    <col min="15632" max="15632" width="14.7109375" style="462" customWidth="1"/>
    <col min="15633" max="15873" width="9.140625" style="462"/>
    <col min="15874" max="15874" width="14.42578125" style="462" customWidth="1"/>
    <col min="15875" max="15875" width="11.7109375" style="462" customWidth="1"/>
    <col min="15876" max="15876" width="12" style="462" customWidth="1"/>
    <col min="15877" max="15877" width="49.5703125" style="462" customWidth="1"/>
    <col min="15878" max="15878" width="44" style="462" customWidth="1"/>
    <col min="15879" max="15879" width="14.85546875" style="462" customWidth="1"/>
    <col min="15880" max="15881" width="18.7109375" style="462" customWidth="1"/>
    <col min="15882" max="15882" width="19.7109375" style="462" customWidth="1"/>
    <col min="15883" max="15883" width="14.28515625" style="462" customWidth="1"/>
    <col min="15884" max="15884" width="9.140625" style="462"/>
    <col min="15885" max="15885" width="10.85546875" style="462" bestFit="1" customWidth="1"/>
    <col min="15886" max="15886" width="19.140625" style="462" customWidth="1"/>
    <col min="15887" max="15887" width="18.5703125" style="462" customWidth="1"/>
    <col min="15888" max="15888" width="14.7109375" style="462" customWidth="1"/>
    <col min="15889" max="16129" width="9.140625" style="462"/>
    <col min="16130" max="16130" width="14.42578125" style="462" customWidth="1"/>
    <col min="16131" max="16131" width="11.7109375" style="462" customWidth="1"/>
    <col min="16132" max="16132" width="12" style="462" customWidth="1"/>
    <col min="16133" max="16133" width="49.5703125" style="462" customWidth="1"/>
    <col min="16134" max="16134" width="44" style="462" customWidth="1"/>
    <col min="16135" max="16135" width="14.85546875" style="462" customWidth="1"/>
    <col min="16136" max="16137" width="18.7109375" style="462" customWidth="1"/>
    <col min="16138" max="16138" width="19.7109375" style="462" customWidth="1"/>
    <col min="16139" max="16139" width="14.28515625" style="462" customWidth="1"/>
    <col min="16140" max="16140" width="9.140625" style="462"/>
    <col min="16141" max="16141" width="10.85546875" style="462" bestFit="1" customWidth="1"/>
    <col min="16142" max="16142" width="19.140625" style="462" customWidth="1"/>
    <col min="16143" max="16143" width="18.5703125" style="462" customWidth="1"/>
    <col min="16144" max="16144" width="14.7109375" style="462" customWidth="1"/>
    <col min="16145" max="16384" width="9.140625" style="462"/>
  </cols>
  <sheetData>
    <row r="1" spans="2:12" ht="57.75" customHeight="1" x14ac:dyDescent="0.2">
      <c r="B1" s="460"/>
      <c r="C1" s="461"/>
      <c r="D1" s="461"/>
      <c r="E1" s="461"/>
      <c r="F1" s="461"/>
      <c r="G1" s="627" t="s">
        <v>810</v>
      </c>
      <c r="H1" s="627"/>
      <c r="I1" s="627"/>
      <c r="J1" s="627"/>
      <c r="K1" s="627"/>
      <c r="L1" s="627"/>
    </row>
    <row r="2" spans="2:12" ht="15.75" x14ac:dyDescent="0.2">
      <c r="B2" s="460"/>
      <c r="C2" s="461"/>
      <c r="D2" s="461"/>
      <c r="E2" s="461"/>
      <c r="F2" s="461"/>
      <c r="G2" s="627"/>
      <c r="H2" s="627"/>
      <c r="I2" s="627"/>
      <c r="J2" s="627"/>
      <c r="K2" s="627"/>
      <c r="L2" s="627"/>
    </row>
    <row r="3" spans="2:12" ht="15.75" x14ac:dyDescent="0.2">
      <c r="B3" s="460"/>
      <c r="C3" s="461"/>
      <c r="D3" s="461"/>
      <c r="E3" s="461"/>
      <c r="F3" s="461"/>
      <c r="G3" s="627"/>
      <c r="H3" s="627"/>
      <c r="I3" s="627"/>
      <c r="J3" s="627"/>
      <c r="K3" s="627"/>
      <c r="L3" s="627"/>
    </row>
    <row r="4" spans="2:12" ht="15.75" x14ac:dyDescent="0.2">
      <c r="B4" s="460"/>
      <c r="C4" s="461"/>
      <c r="D4" s="461"/>
      <c r="E4" s="461"/>
      <c r="F4" s="461"/>
      <c r="G4" s="461"/>
      <c r="H4" s="607" t="s">
        <v>639</v>
      </c>
      <c r="I4" s="607"/>
      <c r="J4" s="607"/>
      <c r="K4" s="607"/>
      <c r="L4" s="607"/>
    </row>
    <row r="5" spans="2:12" ht="15.75" x14ac:dyDescent="0.2">
      <c r="B5" s="463"/>
      <c r="C5" s="461"/>
      <c r="D5" s="461"/>
      <c r="E5" s="461"/>
      <c r="F5" s="461"/>
      <c r="G5" s="461"/>
      <c r="H5" s="461"/>
      <c r="I5" s="461"/>
      <c r="J5" s="461"/>
      <c r="K5" s="461"/>
    </row>
    <row r="6" spans="2:12" ht="15.75" x14ac:dyDescent="0.2">
      <c r="B6" s="628" t="s">
        <v>731</v>
      </c>
      <c r="C6" s="628"/>
      <c r="D6" s="628"/>
      <c r="E6" s="628"/>
      <c r="F6" s="628"/>
      <c r="G6" s="628"/>
      <c r="H6" s="628"/>
      <c r="I6" s="628"/>
      <c r="J6" s="628"/>
      <c r="K6" s="628"/>
    </row>
    <row r="7" spans="2:12" ht="15.75" x14ac:dyDescent="0.2">
      <c r="B7" s="628" t="s">
        <v>732</v>
      </c>
      <c r="C7" s="628"/>
      <c r="D7" s="628"/>
      <c r="E7" s="628"/>
      <c r="F7" s="628"/>
      <c r="G7" s="628"/>
      <c r="H7" s="628"/>
      <c r="I7" s="628"/>
      <c r="J7" s="628"/>
      <c r="K7" s="628"/>
    </row>
    <row r="8" spans="2:12" ht="15.75" x14ac:dyDescent="0.2">
      <c r="B8" s="628" t="s">
        <v>733</v>
      </c>
      <c r="C8" s="628"/>
      <c r="D8" s="628"/>
      <c r="E8" s="628"/>
      <c r="F8" s="628"/>
      <c r="G8" s="628"/>
      <c r="H8" s="628"/>
      <c r="I8" s="628"/>
      <c r="J8" s="628"/>
      <c r="K8" s="628"/>
    </row>
    <row r="9" spans="2:12" ht="15.75" x14ac:dyDescent="0.2">
      <c r="B9" s="464">
        <v>7507000000</v>
      </c>
      <c r="C9" s="461"/>
      <c r="D9" s="461"/>
      <c r="E9" s="461"/>
      <c r="F9" s="461"/>
      <c r="G9" s="461"/>
      <c r="H9" s="461"/>
      <c r="I9" s="461"/>
      <c r="J9" s="461"/>
      <c r="K9" s="461"/>
    </row>
    <row r="10" spans="2:12" x14ac:dyDescent="0.2">
      <c r="B10" s="465" t="s">
        <v>4</v>
      </c>
      <c r="C10" s="461"/>
      <c r="D10" s="461"/>
      <c r="E10" s="461"/>
      <c r="F10" s="461"/>
      <c r="G10" s="461"/>
      <c r="H10" s="461"/>
      <c r="I10" s="461"/>
      <c r="J10" s="461"/>
      <c r="K10" s="461"/>
    </row>
    <row r="11" spans="2:12" ht="15.75" x14ac:dyDescent="0.2">
      <c r="B11" s="466"/>
      <c r="C11" s="461"/>
      <c r="D11" s="461"/>
      <c r="E11" s="461"/>
      <c r="F11" s="461"/>
      <c r="G11" s="461"/>
      <c r="H11" s="461"/>
      <c r="I11" s="461"/>
      <c r="J11" s="461"/>
      <c r="K11" s="461"/>
    </row>
    <row r="12" spans="2:12" ht="15.75" x14ac:dyDescent="0.2">
      <c r="B12" s="466"/>
      <c r="C12" s="461"/>
      <c r="D12" s="461"/>
      <c r="E12" s="461"/>
      <c r="F12" s="461"/>
      <c r="G12" s="461"/>
      <c r="H12" s="461"/>
      <c r="I12" s="461"/>
      <c r="J12" s="461"/>
      <c r="K12" s="461"/>
    </row>
    <row r="13" spans="2:12" ht="89.25" x14ac:dyDescent="0.2">
      <c r="B13" s="467" t="s">
        <v>642</v>
      </c>
      <c r="C13" s="467" t="s">
        <v>643</v>
      </c>
      <c r="D13" s="467" t="s">
        <v>503</v>
      </c>
      <c r="E13" s="467" t="s">
        <v>644</v>
      </c>
      <c r="F13" s="467" t="s">
        <v>734</v>
      </c>
      <c r="G13" s="467" t="s">
        <v>735</v>
      </c>
      <c r="H13" s="467" t="s">
        <v>736</v>
      </c>
      <c r="I13" s="467" t="s">
        <v>737</v>
      </c>
      <c r="J13" s="467" t="s">
        <v>738</v>
      </c>
      <c r="K13" s="467" t="s">
        <v>739</v>
      </c>
    </row>
    <row r="14" spans="2:12" x14ac:dyDescent="0.2">
      <c r="B14" s="467">
        <v>1</v>
      </c>
      <c r="C14" s="467">
        <v>2</v>
      </c>
      <c r="D14" s="467">
        <v>3</v>
      </c>
      <c r="E14" s="467">
        <v>4</v>
      </c>
      <c r="F14" s="467">
        <v>5</v>
      </c>
      <c r="G14" s="467">
        <v>6</v>
      </c>
      <c r="H14" s="467">
        <v>7</v>
      </c>
      <c r="I14" s="467">
        <v>8</v>
      </c>
      <c r="J14" s="467">
        <v>9</v>
      </c>
      <c r="K14" s="467">
        <v>10</v>
      </c>
    </row>
    <row r="15" spans="2:12" ht="53.25" hidden="1" customHeight="1" x14ac:dyDescent="0.2">
      <c r="B15" s="468" t="s">
        <v>337</v>
      </c>
      <c r="C15" s="468" t="s">
        <v>338</v>
      </c>
      <c r="D15" s="469"/>
      <c r="E15" s="470" t="s">
        <v>339</v>
      </c>
      <c r="F15" s="471"/>
      <c r="G15" s="471"/>
      <c r="H15" s="472">
        <f>SUM(H16)</f>
        <v>0</v>
      </c>
      <c r="I15" s="472">
        <f>SUM(I16)</f>
        <v>0</v>
      </c>
      <c r="J15" s="551">
        <f>SUM(J16)</f>
        <v>0</v>
      </c>
      <c r="K15" s="471"/>
    </row>
    <row r="16" spans="2:12" ht="53.25" hidden="1" customHeight="1" x14ac:dyDescent="0.2">
      <c r="B16" s="468" t="s">
        <v>340</v>
      </c>
      <c r="C16" s="468"/>
      <c r="D16" s="469"/>
      <c r="E16" s="470" t="s">
        <v>341</v>
      </c>
      <c r="F16" s="467"/>
      <c r="G16" s="467"/>
      <c r="H16" s="473">
        <f>SUM(H24+H17+H21)</f>
        <v>0</v>
      </c>
      <c r="I16" s="473">
        <f>SUM(I24+I17+I21)</f>
        <v>0</v>
      </c>
      <c r="J16" s="479">
        <f>SUM(J24+J17+J21)</f>
        <v>0</v>
      </c>
      <c r="K16" s="467"/>
    </row>
    <row r="17" spans="2:16" ht="25.5" hidden="1" x14ac:dyDescent="0.2">
      <c r="B17" s="474" t="s">
        <v>369</v>
      </c>
      <c r="C17" s="475" t="s">
        <v>370</v>
      </c>
      <c r="D17" s="475" t="s">
        <v>371</v>
      </c>
      <c r="E17" s="476" t="s">
        <v>740</v>
      </c>
      <c r="F17" s="477"/>
      <c r="G17" s="478"/>
      <c r="H17" s="473">
        <f>SUM(H18:H20)</f>
        <v>0</v>
      </c>
      <c r="I17" s="473">
        <f>SUM(I18:I20)</f>
        <v>0</v>
      </c>
      <c r="J17" s="479">
        <f>SUM(J18:J20)</f>
        <v>0</v>
      </c>
      <c r="K17" s="473"/>
    </row>
    <row r="18" spans="2:16" ht="38.25" hidden="1" x14ac:dyDescent="0.2">
      <c r="B18" s="480" t="s">
        <v>369</v>
      </c>
      <c r="C18" s="481" t="s">
        <v>370</v>
      </c>
      <c r="D18" s="481" t="s">
        <v>371</v>
      </c>
      <c r="E18" s="482" t="s">
        <v>740</v>
      </c>
      <c r="F18" s="483" t="s">
        <v>741</v>
      </c>
      <c r="G18" s="481" t="s">
        <v>742</v>
      </c>
      <c r="H18" s="484"/>
      <c r="I18" s="485"/>
      <c r="J18" s="484"/>
      <c r="K18" s="486" t="e">
        <f>I18/H18*100</f>
        <v>#DIV/0!</v>
      </c>
    </row>
    <row r="19" spans="2:16" ht="25.5" hidden="1" x14ac:dyDescent="0.2">
      <c r="B19" s="480" t="s">
        <v>369</v>
      </c>
      <c r="C19" s="481" t="s">
        <v>370</v>
      </c>
      <c r="D19" s="481" t="s">
        <v>371</v>
      </c>
      <c r="E19" s="482" t="s">
        <v>740</v>
      </c>
      <c r="F19" s="487" t="s">
        <v>743</v>
      </c>
      <c r="G19" s="488" t="s">
        <v>744</v>
      </c>
      <c r="H19" s="484"/>
      <c r="I19" s="485"/>
      <c r="J19" s="484"/>
      <c r="K19" s="486" t="e">
        <f>I19/H19*100</f>
        <v>#DIV/0!</v>
      </c>
    </row>
    <row r="20" spans="2:16" ht="38.25" hidden="1" x14ac:dyDescent="0.2">
      <c r="B20" s="489" t="s">
        <v>369</v>
      </c>
      <c r="C20" s="488" t="s">
        <v>370</v>
      </c>
      <c r="D20" s="488" t="s">
        <v>371</v>
      </c>
      <c r="E20" s="490" t="s">
        <v>740</v>
      </c>
      <c r="F20" s="491" t="s">
        <v>745</v>
      </c>
      <c r="G20" s="488" t="s">
        <v>746</v>
      </c>
      <c r="H20" s="484"/>
      <c r="I20" s="485"/>
      <c r="J20" s="484"/>
      <c r="K20" s="486" t="e">
        <f>I20/H20*100</f>
        <v>#DIV/0!</v>
      </c>
    </row>
    <row r="21" spans="2:16" ht="25.5" hidden="1" x14ac:dyDescent="0.2">
      <c r="B21" s="474" t="s">
        <v>373</v>
      </c>
      <c r="C21" s="475" t="s">
        <v>374</v>
      </c>
      <c r="D21" s="475" t="s">
        <v>371</v>
      </c>
      <c r="E21" s="492" t="s">
        <v>740</v>
      </c>
      <c r="F21" s="467"/>
      <c r="G21" s="478"/>
      <c r="H21" s="473">
        <f>H22</f>
        <v>0</v>
      </c>
      <c r="I21" s="473">
        <f>I22</f>
        <v>0</v>
      </c>
      <c r="J21" s="479">
        <f>J22</f>
        <v>0</v>
      </c>
      <c r="K21" s="473"/>
    </row>
    <row r="22" spans="2:16" ht="25.5" hidden="1" x14ac:dyDescent="0.2">
      <c r="B22" s="480" t="s">
        <v>373</v>
      </c>
      <c r="C22" s="481" t="s">
        <v>374</v>
      </c>
      <c r="D22" s="481" t="s">
        <v>371</v>
      </c>
      <c r="E22" s="482" t="s">
        <v>740</v>
      </c>
      <c r="F22" s="493" t="s">
        <v>747</v>
      </c>
      <c r="G22" s="481" t="s">
        <v>744</v>
      </c>
      <c r="H22" s="484"/>
      <c r="I22" s="494"/>
      <c r="J22" s="484"/>
      <c r="K22" s="486">
        <v>98.2</v>
      </c>
      <c r="M22" s="495">
        <f>J23-J22</f>
        <v>0</v>
      </c>
    </row>
    <row r="23" spans="2:16" ht="18.75" hidden="1" customHeight="1" x14ac:dyDescent="0.2">
      <c r="B23" s="480"/>
      <c r="C23" s="481"/>
      <c r="D23" s="481"/>
      <c r="E23" s="482"/>
      <c r="F23" s="496" t="s">
        <v>748</v>
      </c>
      <c r="G23" s="481"/>
      <c r="H23" s="484"/>
      <c r="I23" s="494"/>
      <c r="J23" s="484"/>
      <c r="K23" s="497"/>
    </row>
    <row r="24" spans="2:16" s="504" customFormat="1" ht="52.5" hidden="1" customHeight="1" x14ac:dyDescent="0.25">
      <c r="B24" s="498">
        <v>1217461</v>
      </c>
      <c r="C24" s="498">
        <v>7461</v>
      </c>
      <c r="D24" s="499" t="s">
        <v>381</v>
      </c>
      <c r="E24" s="500" t="s">
        <v>382</v>
      </c>
      <c r="F24" s="501"/>
      <c r="G24" s="501"/>
      <c r="H24" s="502">
        <f>SUM(H25)</f>
        <v>0</v>
      </c>
      <c r="I24" s="502">
        <f>SUM(I25)</f>
        <v>0</v>
      </c>
      <c r="J24" s="503">
        <f>SUM(J25)</f>
        <v>0</v>
      </c>
      <c r="K24" s="478"/>
    </row>
    <row r="25" spans="2:16" ht="42.75" hidden="1" customHeight="1" x14ac:dyDescent="0.2">
      <c r="B25" s="505">
        <v>1217461</v>
      </c>
      <c r="C25" s="505">
        <v>7461</v>
      </c>
      <c r="D25" s="481" t="s">
        <v>381</v>
      </c>
      <c r="E25" s="506" t="s">
        <v>382</v>
      </c>
      <c r="F25" s="497" t="s">
        <v>749</v>
      </c>
      <c r="G25" s="497" t="s">
        <v>744</v>
      </c>
      <c r="H25" s="507"/>
      <c r="I25" s="494"/>
      <c r="J25" s="484"/>
      <c r="K25" s="486" t="e">
        <f>I25/H25*100</f>
        <v>#DIV/0!</v>
      </c>
    </row>
    <row r="26" spans="2:16" ht="55.5" customHeight="1" x14ac:dyDescent="0.2">
      <c r="B26" s="468" t="s">
        <v>402</v>
      </c>
      <c r="C26" s="468" t="s">
        <v>403</v>
      </c>
      <c r="D26" s="469"/>
      <c r="E26" s="508" t="s">
        <v>404</v>
      </c>
      <c r="F26" s="467"/>
      <c r="G26" s="467"/>
      <c r="H26" s="509">
        <f>H27</f>
        <v>1538159</v>
      </c>
      <c r="I26" s="509">
        <f>I27</f>
        <v>367408</v>
      </c>
      <c r="J26" s="509">
        <f>J27</f>
        <v>0</v>
      </c>
      <c r="K26" s="510"/>
      <c r="N26" s="511"/>
      <c r="O26" s="511"/>
      <c r="P26" s="511"/>
    </row>
    <row r="27" spans="2:16" ht="56.25" customHeight="1" x14ac:dyDescent="0.2">
      <c r="B27" s="468" t="s">
        <v>405</v>
      </c>
      <c r="C27" s="468"/>
      <c r="D27" s="469"/>
      <c r="E27" s="508" t="s">
        <v>406</v>
      </c>
      <c r="F27" s="467"/>
      <c r="G27" s="467"/>
      <c r="H27" s="509">
        <f>H28+H30+H41+H43+H69+H72+H74</f>
        <v>1538159</v>
      </c>
      <c r="I27" s="509">
        <f>I28+I30+I41+I43+I69+I72+I74</f>
        <v>367408</v>
      </c>
      <c r="J27" s="509">
        <f>J28+J30+J41+J43+J69+J72+J74</f>
        <v>0</v>
      </c>
      <c r="K27" s="510"/>
      <c r="N27" s="511"/>
      <c r="O27" s="511"/>
      <c r="P27" s="511"/>
    </row>
    <row r="28" spans="2:16" ht="28.5" hidden="1" x14ac:dyDescent="0.2">
      <c r="B28" s="478">
        <v>1517310</v>
      </c>
      <c r="C28" s="512">
        <v>7310</v>
      </c>
      <c r="D28" s="512"/>
      <c r="E28" s="513" t="s">
        <v>750</v>
      </c>
      <c r="F28" s="514"/>
      <c r="G28" s="514"/>
      <c r="H28" s="515">
        <f>H29</f>
        <v>0</v>
      </c>
      <c r="I28" s="515">
        <f>I29</f>
        <v>0</v>
      </c>
      <c r="J28" s="515">
        <f>J29</f>
        <v>0</v>
      </c>
      <c r="K28" s="514"/>
    </row>
    <row r="29" spans="2:16" ht="60" hidden="1" x14ac:dyDescent="0.2">
      <c r="B29" s="467">
        <v>1517310</v>
      </c>
      <c r="C29" s="514">
        <v>7310</v>
      </c>
      <c r="D29" s="514"/>
      <c r="E29" s="516" t="s">
        <v>750</v>
      </c>
      <c r="F29" s="516" t="s">
        <v>751</v>
      </c>
      <c r="G29" s="514">
        <v>2022</v>
      </c>
      <c r="H29" s="517"/>
      <c r="I29" s="518"/>
      <c r="J29" s="517"/>
      <c r="K29" s="486" t="e">
        <f>I29/H29*100</f>
        <v>#DIV/0!</v>
      </c>
    </row>
    <row r="30" spans="2:16" ht="48.75" customHeight="1" x14ac:dyDescent="0.2">
      <c r="B30" s="478">
        <v>1517321</v>
      </c>
      <c r="C30" s="512">
        <v>7321</v>
      </c>
      <c r="D30" s="519" t="s">
        <v>371</v>
      </c>
      <c r="E30" s="513" t="s">
        <v>416</v>
      </c>
      <c r="F30" s="514"/>
      <c r="G30" s="514"/>
      <c r="H30" s="520">
        <f>SUM(H31:H40)-H32</f>
        <v>0</v>
      </c>
      <c r="I30" s="509">
        <f>SUM(I31:I40)</f>
        <v>-350043</v>
      </c>
      <c r="J30" s="520">
        <f>SUM(J31:J40)-J32</f>
        <v>-350043</v>
      </c>
      <c r="K30" s="521"/>
    </row>
    <row r="31" spans="2:16" ht="45" hidden="1" x14ac:dyDescent="0.2">
      <c r="B31" s="467">
        <v>1517321</v>
      </c>
      <c r="C31" s="514">
        <v>7321</v>
      </c>
      <c r="D31" s="522" t="s">
        <v>371</v>
      </c>
      <c r="E31" s="516" t="s">
        <v>416</v>
      </c>
      <c r="F31" s="516" t="s">
        <v>752</v>
      </c>
      <c r="G31" s="514" t="s">
        <v>746</v>
      </c>
      <c r="H31" s="523"/>
      <c r="I31" s="524"/>
      <c r="J31" s="523"/>
      <c r="K31" s="486">
        <v>90.7</v>
      </c>
      <c r="N31" s="495">
        <f>J32-J31</f>
        <v>0</v>
      </c>
    </row>
    <row r="32" spans="2:16" ht="30" hidden="1" x14ac:dyDescent="0.2">
      <c r="B32" s="467"/>
      <c r="C32" s="514"/>
      <c r="D32" s="522"/>
      <c r="E32" s="516"/>
      <c r="F32" s="496" t="s">
        <v>748</v>
      </c>
      <c r="G32" s="514"/>
      <c r="H32" s="523"/>
      <c r="I32" s="524"/>
      <c r="J32" s="525"/>
      <c r="K32" s="526"/>
    </row>
    <row r="33" spans="2:11" ht="75" x14ac:dyDescent="0.2">
      <c r="B33" s="467">
        <v>1517321</v>
      </c>
      <c r="C33" s="514">
        <v>7321</v>
      </c>
      <c r="D33" s="522" t="s">
        <v>371</v>
      </c>
      <c r="E33" s="516" t="s">
        <v>416</v>
      </c>
      <c r="F33" s="516" t="s">
        <v>753</v>
      </c>
      <c r="G33" s="514" t="s">
        <v>746</v>
      </c>
      <c r="H33" s="517"/>
      <c r="I33" s="524">
        <v>-200000</v>
      </c>
      <c r="J33" s="523">
        <v>-200000</v>
      </c>
      <c r="K33" s="486">
        <v>2.5</v>
      </c>
    </row>
    <row r="34" spans="2:11" ht="105" hidden="1" x14ac:dyDescent="0.2">
      <c r="B34" s="467">
        <v>1517321</v>
      </c>
      <c r="C34" s="514">
        <v>7321</v>
      </c>
      <c r="D34" s="522" t="s">
        <v>371</v>
      </c>
      <c r="E34" s="516" t="s">
        <v>416</v>
      </c>
      <c r="F34" s="516" t="s">
        <v>754</v>
      </c>
      <c r="G34" s="514" t="s">
        <v>755</v>
      </c>
      <c r="H34" s="523"/>
      <c r="I34" s="524"/>
      <c r="J34" s="523"/>
      <c r="K34" s="514"/>
    </row>
    <row r="35" spans="2:11" ht="45" hidden="1" x14ac:dyDescent="0.2">
      <c r="B35" s="467">
        <v>1517321</v>
      </c>
      <c r="C35" s="514">
        <v>7321</v>
      </c>
      <c r="D35" s="522" t="s">
        <v>371</v>
      </c>
      <c r="E35" s="516" t="s">
        <v>416</v>
      </c>
      <c r="F35" s="516" t="s">
        <v>756</v>
      </c>
      <c r="G35" s="514">
        <v>2022</v>
      </c>
      <c r="H35" s="527"/>
      <c r="I35" s="518"/>
      <c r="J35" s="517"/>
      <c r="K35" s="514"/>
    </row>
    <row r="36" spans="2:11" ht="45" hidden="1" x14ac:dyDescent="0.2">
      <c r="B36" s="467">
        <v>1517321</v>
      </c>
      <c r="C36" s="514">
        <v>7321</v>
      </c>
      <c r="D36" s="522" t="s">
        <v>371</v>
      </c>
      <c r="E36" s="516" t="s">
        <v>416</v>
      </c>
      <c r="F36" s="516" t="s">
        <v>757</v>
      </c>
      <c r="G36" s="514">
        <v>2022</v>
      </c>
      <c r="H36" s="528"/>
      <c r="I36" s="529"/>
      <c r="J36" s="530"/>
      <c r="K36" s="521"/>
    </row>
    <row r="37" spans="2:11" ht="45" x14ac:dyDescent="0.2">
      <c r="B37" s="467">
        <v>1517321</v>
      </c>
      <c r="C37" s="514">
        <v>7321</v>
      </c>
      <c r="D37" s="522" t="s">
        <v>371</v>
      </c>
      <c r="E37" s="516" t="s">
        <v>416</v>
      </c>
      <c r="F37" s="516" t="s">
        <v>758</v>
      </c>
      <c r="G37" s="514" t="s">
        <v>755</v>
      </c>
      <c r="H37" s="527"/>
      <c r="I37" s="524">
        <v>-80043</v>
      </c>
      <c r="J37" s="523">
        <v>-80043</v>
      </c>
      <c r="K37" s="514"/>
    </row>
    <row r="38" spans="2:11" ht="45" hidden="1" x14ac:dyDescent="0.2">
      <c r="B38" s="467">
        <v>1517321</v>
      </c>
      <c r="C38" s="514">
        <v>7321</v>
      </c>
      <c r="D38" s="522" t="s">
        <v>371</v>
      </c>
      <c r="E38" s="516" t="s">
        <v>416</v>
      </c>
      <c r="F38" s="516" t="s">
        <v>759</v>
      </c>
      <c r="G38" s="514">
        <v>2022</v>
      </c>
      <c r="H38" s="527"/>
      <c r="I38" s="518"/>
      <c r="J38" s="517"/>
      <c r="K38" s="514"/>
    </row>
    <row r="39" spans="2:11" ht="75" x14ac:dyDescent="0.2">
      <c r="B39" s="467">
        <v>1517321</v>
      </c>
      <c r="C39" s="514">
        <v>7321</v>
      </c>
      <c r="D39" s="522" t="s">
        <v>371</v>
      </c>
      <c r="E39" s="516" t="s">
        <v>416</v>
      </c>
      <c r="F39" s="516" t="s">
        <v>816</v>
      </c>
      <c r="G39" s="514">
        <v>2022</v>
      </c>
      <c r="H39" s="527"/>
      <c r="I39" s="524">
        <v>-70000</v>
      </c>
      <c r="J39" s="523">
        <v>-70000</v>
      </c>
      <c r="K39" s="514"/>
    </row>
    <row r="40" spans="2:11" ht="30" hidden="1" x14ac:dyDescent="0.2">
      <c r="B40" s="467">
        <v>1517321</v>
      </c>
      <c r="C40" s="514">
        <v>7321</v>
      </c>
      <c r="D40" s="522" t="s">
        <v>371</v>
      </c>
      <c r="E40" s="516" t="s">
        <v>416</v>
      </c>
      <c r="F40" s="516" t="s">
        <v>760</v>
      </c>
      <c r="G40" s="514" t="s">
        <v>755</v>
      </c>
      <c r="H40" s="527"/>
      <c r="I40" s="518"/>
      <c r="J40" s="517"/>
      <c r="K40" s="514"/>
    </row>
    <row r="41" spans="2:11" ht="25.5" hidden="1" customHeight="1" x14ac:dyDescent="0.2">
      <c r="B41" s="478" t="s">
        <v>420</v>
      </c>
      <c r="C41" s="512" t="s">
        <v>421</v>
      </c>
      <c r="D41" s="512" t="s">
        <v>371</v>
      </c>
      <c r="E41" s="513" t="s">
        <v>422</v>
      </c>
      <c r="F41" s="512"/>
      <c r="G41" s="512"/>
      <c r="H41" s="531">
        <f>H42</f>
        <v>0</v>
      </c>
      <c r="I41" s="531">
        <f>I42</f>
        <v>0</v>
      </c>
      <c r="J41" s="531">
        <f>J42</f>
        <v>0</v>
      </c>
      <c r="K41" s="532"/>
    </row>
    <row r="42" spans="2:11" ht="60" hidden="1" x14ac:dyDescent="0.2">
      <c r="B42" s="467">
        <v>1517324</v>
      </c>
      <c r="C42" s="514" t="s">
        <v>421</v>
      </c>
      <c r="D42" s="514" t="s">
        <v>371</v>
      </c>
      <c r="E42" s="516" t="s">
        <v>422</v>
      </c>
      <c r="F42" s="516" t="s">
        <v>761</v>
      </c>
      <c r="G42" s="514" t="s">
        <v>742</v>
      </c>
      <c r="H42" s="529"/>
      <c r="I42" s="530"/>
      <c r="J42" s="530"/>
      <c r="K42" s="521">
        <v>95.8</v>
      </c>
    </row>
    <row r="43" spans="2:11" ht="28.5" x14ac:dyDescent="0.2">
      <c r="B43" s="478" t="s">
        <v>426</v>
      </c>
      <c r="C43" s="512" t="s">
        <v>374</v>
      </c>
      <c r="D43" s="512" t="s">
        <v>371</v>
      </c>
      <c r="E43" s="513" t="s">
        <v>762</v>
      </c>
      <c r="F43" s="514"/>
      <c r="G43" s="514"/>
      <c r="H43" s="533">
        <f>SUM(H44:H68)-H46</f>
        <v>1538159</v>
      </c>
      <c r="I43" s="533">
        <f>SUM(I44:I68)-I46</f>
        <v>717451</v>
      </c>
      <c r="J43" s="533">
        <f>SUM(J44:J68)-J46</f>
        <v>350043</v>
      </c>
      <c r="K43" s="514"/>
    </row>
    <row r="44" spans="2:11" ht="75" x14ac:dyDescent="0.2">
      <c r="B44" s="467" t="s">
        <v>426</v>
      </c>
      <c r="C44" s="514" t="s">
        <v>374</v>
      </c>
      <c r="D44" s="514" t="s">
        <v>371</v>
      </c>
      <c r="E44" s="516" t="s">
        <v>762</v>
      </c>
      <c r="F44" s="516" t="s">
        <v>817</v>
      </c>
      <c r="G44" s="514" t="s">
        <v>755</v>
      </c>
      <c r="H44" s="517"/>
      <c r="I44" s="524">
        <v>-48688</v>
      </c>
      <c r="J44" s="523">
        <v>-48688</v>
      </c>
      <c r="K44" s="486">
        <v>6.2</v>
      </c>
    </row>
    <row r="45" spans="2:11" ht="30" hidden="1" x14ac:dyDescent="0.2">
      <c r="B45" s="467" t="s">
        <v>426</v>
      </c>
      <c r="C45" s="514" t="s">
        <v>374</v>
      </c>
      <c r="D45" s="514" t="s">
        <v>371</v>
      </c>
      <c r="E45" s="516" t="s">
        <v>762</v>
      </c>
      <c r="F45" s="516" t="s">
        <v>763</v>
      </c>
      <c r="G45" s="514" t="s">
        <v>755</v>
      </c>
      <c r="H45" s="523"/>
      <c r="I45" s="524"/>
      <c r="J45" s="523"/>
      <c r="K45" s="486">
        <v>19.399999999999999</v>
      </c>
    </row>
    <row r="46" spans="2:11" ht="30" hidden="1" x14ac:dyDescent="0.2">
      <c r="B46" s="467"/>
      <c r="C46" s="514"/>
      <c r="D46" s="514"/>
      <c r="E46" s="516"/>
      <c r="F46" s="496" t="s">
        <v>748</v>
      </c>
      <c r="G46" s="514"/>
      <c r="H46" s="523"/>
      <c r="I46" s="524"/>
      <c r="J46" s="525"/>
      <c r="K46" s="526"/>
    </row>
    <row r="47" spans="2:11" ht="45" hidden="1" x14ac:dyDescent="0.2">
      <c r="B47" s="467" t="s">
        <v>426</v>
      </c>
      <c r="C47" s="514" t="s">
        <v>374</v>
      </c>
      <c r="D47" s="514" t="s">
        <v>371</v>
      </c>
      <c r="E47" s="516" t="s">
        <v>762</v>
      </c>
      <c r="F47" s="534" t="s">
        <v>764</v>
      </c>
      <c r="G47" s="514" t="s">
        <v>755</v>
      </c>
      <c r="H47" s="517"/>
      <c r="I47" s="518"/>
      <c r="J47" s="517"/>
      <c r="K47" s="486" t="e">
        <f>I47/H47*100</f>
        <v>#DIV/0!</v>
      </c>
    </row>
    <row r="48" spans="2:11" ht="30" hidden="1" x14ac:dyDescent="0.2">
      <c r="B48" s="467" t="s">
        <v>426</v>
      </c>
      <c r="C48" s="514" t="s">
        <v>374</v>
      </c>
      <c r="D48" s="514" t="s">
        <v>371</v>
      </c>
      <c r="E48" s="516" t="s">
        <v>762</v>
      </c>
      <c r="F48" s="534" t="s">
        <v>765</v>
      </c>
      <c r="G48" s="514" t="s">
        <v>755</v>
      </c>
      <c r="H48" s="517"/>
      <c r="I48" s="518"/>
      <c r="J48" s="517"/>
      <c r="K48" s="526"/>
    </row>
    <row r="49" spans="2:11" ht="30" x14ac:dyDescent="0.2">
      <c r="B49" s="467" t="s">
        <v>426</v>
      </c>
      <c r="C49" s="514" t="s">
        <v>374</v>
      </c>
      <c r="D49" s="514" t="s">
        <v>371</v>
      </c>
      <c r="E49" s="516" t="s">
        <v>762</v>
      </c>
      <c r="F49" s="516" t="s">
        <v>766</v>
      </c>
      <c r="G49" s="514" t="s">
        <v>755</v>
      </c>
      <c r="H49" s="517"/>
      <c r="I49" s="524">
        <v>-41000</v>
      </c>
      <c r="J49" s="523">
        <v>-41000</v>
      </c>
      <c r="K49" s="486">
        <v>1.6</v>
      </c>
    </row>
    <row r="50" spans="2:11" ht="30" hidden="1" x14ac:dyDescent="0.2">
      <c r="B50" s="467" t="s">
        <v>426</v>
      </c>
      <c r="C50" s="514" t="s">
        <v>374</v>
      </c>
      <c r="D50" s="514" t="s">
        <v>371</v>
      </c>
      <c r="E50" s="516" t="s">
        <v>762</v>
      </c>
      <c r="F50" s="516" t="s">
        <v>767</v>
      </c>
      <c r="G50" s="514" t="s">
        <v>755</v>
      </c>
      <c r="H50" s="517"/>
      <c r="I50" s="518"/>
      <c r="J50" s="517"/>
      <c r="K50" s="535"/>
    </row>
    <row r="51" spans="2:11" ht="30" x14ac:dyDescent="0.2">
      <c r="B51" s="467" t="s">
        <v>426</v>
      </c>
      <c r="C51" s="514" t="s">
        <v>374</v>
      </c>
      <c r="D51" s="514" t="s">
        <v>371</v>
      </c>
      <c r="E51" s="516" t="s">
        <v>762</v>
      </c>
      <c r="F51" s="516" t="s">
        <v>818</v>
      </c>
      <c r="G51" s="514" t="s">
        <v>755</v>
      </c>
      <c r="H51" s="517">
        <v>1538159</v>
      </c>
      <c r="I51" s="524">
        <v>1528552</v>
      </c>
      <c r="J51" s="523">
        <v>1032392</v>
      </c>
      <c r="K51" s="535">
        <v>99.4</v>
      </c>
    </row>
    <row r="52" spans="2:11" ht="45" hidden="1" x14ac:dyDescent="0.2">
      <c r="B52" s="467" t="s">
        <v>426</v>
      </c>
      <c r="C52" s="514" t="s">
        <v>374</v>
      </c>
      <c r="D52" s="514" t="s">
        <v>371</v>
      </c>
      <c r="E52" s="516" t="s">
        <v>762</v>
      </c>
      <c r="F52" s="516" t="s">
        <v>768</v>
      </c>
      <c r="G52" s="514" t="s">
        <v>755</v>
      </c>
      <c r="H52" s="517"/>
      <c r="I52" s="518"/>
      <c r="J52" s="517"/>
      <c r="K52" s="486" t="e">
        <f>I52/H52*100</f>
        <v>#DIV/0!</v>
      </c>
    </row>
    <row r="53" spans="2:11" ht="45" x14ac:dyDescent="0.2">
      <c r="B53" s="467" t="s">
        <v>426</v>
      </c>
      <c r="C53" s="514" t="s">
        <v>374</v>
      </c>
      <c r="D53" s="514" t="s">
        <v>371</v>
      </c>
      <c r="E53" s="516" t="s">
        <v>762</v>
      </c>
      <c r="F53" s="516" t="s">
        <v>769</v>
      </c>
      <c r="G53" s="514" t="s">
        <v>755</v>
      </c>
      <c r="H53" s="517"/>
      <c r="I53" s="524">
        <v>-173752</v>
      </c>
      <c r="J53" s="523">
        <v>-45000</v>
      </c>
      <c r="K53" s="486">
        <v>5.0999999999999996</v>
      </c>
    </row>
    <row r="54" spans="2:11" ht="45" hidden="1" x14ac:dyDescent="0.2">
      <c r="B54" s="467" t="s">
        <v>426</v>
      </c>
      <c r="C54" s="514" t="s">
        <v>374</v>
      </c>
      <c r="D54" s="514" t="s">
        <v>371</v>
      </c>
      <c r="E54" s="516" t="s">
        <v>762</v>
      </c>
      <c r="F54" s="534" t="s">
        <v>770</v>
      </c>
      <c r="G54" s="514" t="s">
        <v>755</v>
      </c>
      <c r="H54" s="517"/>
      <c r="I54" s="518"/>
      <c r="J54" s="517"/>
      <c r="K54" s="486" t="e">
        <f>I54/H54*100</f>
        <v>#DIV/0!</v>
      </c>
    </row>
    <row r="55" spans="2:11" ht="45" x14ac:dyDescent="0.2">
      <c r="B55" s="467" t="s">
        <v>426</v>
      </c>
      <c r="C55" s="514" t="s">
        <v>374</v>
      </c>
      <c r="D55" s="514" t="s">
        <v>371</v>
      </c>
      <c r="E55" s="516" t="s">
        <v>762</v>
      </c>
      <c r="F55" s="516" t="s">
        <v>771</v>
      </c>
      <c r="G55" s="514" t="s">
        <v>755</v>
      </c>
      <c r="H55" s="517"/>
      <c r="I55" s="524">
        <v>-467661</v>
      </c>
      <c r="J55" s="523">
        <v>-467661</v>
      </c>
      <c r="K55" s="486">
        <v>1.9</v>
      </c>
    </row>
    <row r="56" spans="2:11" ht="45" hidden="1" x14ac:dyDescent="0.2">
      <c r="B56" s="467" t="s">
        <v>426</v>
      </c>
      <c r="C56" s="514" t="s">
        <v>374</v>
      </c>
      <c r="D56" s="514" t="s">
        <v>371</v>
      </c>
      <c r="E56" s="516" t="s">
        <v>762</v>
      </c>
      <c r="F56" s="516" t="s">
        <v>772</v>
      </c>
      <c r="G56" s="514" t="s">
        <v>755</v>
      </c>
      <c r="H56" s="517"/>
      <c r="I56" s="518"/>
      <c r="J56" s="517"/>
      <c r="K56" s="486" t="e">
        <f>I56/H56*100</f>
        <v>#DIV/0!</v>
      </c>
    </row>
    <row r="57" spans="2:11" ht="38.25" hidden="1" customHeight="1" x14ac:dyDescent="0.2">
      <c r="B57" s="467" t="s">
        <v>426</v>
      </c>
      <c r="C57" s="514" t="s">
        <v>374</v>
      </c>
      <c r="D57" s="514" t="s">
        <v>371</v>
      </c>
      <c r="E57" s="516" t="s">
        <v>762</v>
      </c>
      <c r="F57" s="516" t="s">
        <v>773</v>
      </c>
      <c r="G57" s="514" t="s">
        <v>755</v>
      </c>
      <c r="H57" s="517"/>
      <c r="I57" s="518"/>
      <c r="J57" s="517"/>
      <c r="K57" s="486" t="e">
        <f t="shared" ref="K57:K62" si="0">I57/H57*100</f>
        <v>#DIV/0!</v>
      </c>
    </row>
    <row r="58" spans="2:11" ht="45" hidden="1" x14ac:dyDescent="0.2">
      <c r="B58" s="467" t="s">
        <v>426</v>
      </c>
      <c r="C58" s="514" t="s">
        <v>374</v>
      </c>
      <c r="D58" s="514" t="s">
        <v>371</v>
      </c>
      <c r="E58" s="516" t="s">
        <v>762</v>
      </c>
      <c r="F58" s="516" t="s">
        <v>774</v>
      </c>
      <c r="G58" s="514" t="s">
        <v>755</v>
      </c>
      <c r="H58" s="517"/>
      <c r="I58" s="518"/>
      <c r="J58" s="517"/>
      <c r="K58" s="486" t="e">
        <f t="shared" si="0"/>
        <v>#DIV/0!</v>
      </c>
    </row>
    <row r="59" spans="2:11" ht="30" hidden="1" x14ac:dyDescent="0.2">
      <c r="B59" s="467" t="s">
        <v>426</v>
      </c>
      <c r="C59" s="514" t="s">
        <v>374</v>
      </c>
      <c r="D59" s="514" t="s">
        <v>371</v>
      </c>
      <c r="E59" s="516" t="s">
        <v>762</v>
      </c>
      <c r="F59" s="516" t="s">
        <v>775</v>
      </c>
      <c r="G59" s="514" t="s">
        <v>755</v>
      </c>
      <c r="H59" s="517"/>
      <c r="I59" s="518"/>
      <c r="J59" s="517"/>
      <c r="K59" s="486" t="e">
        <f t="shared" si="0"/>
        <v>#DIV/0!</v>
      </c>
    </row>
    <row r="60" spans="2:11" ht="30" hidden="1" x14ac:dyDescent="0.2">
      <c r="B60" s="467" t="s">
        <v>426</v>
      </c>
      <c r="C60" s="514" t="s">
        <v>374</v>
      </c>
      <c r="D60" s="514" t="s">
        <v>371</v>
      </c>
      <c r="E60" s="516" t="s">
        <v>762</v>
      </c>
      <c r="F60" s="516" t="s">
        <v>776</v>
      </c>
      <c r="G60" s="514" t="s">
        <v>755</v>
      </c>
      <c r="H60" s="517"/>
      <c r="I60" s="518"/>
      <c r="J60" s="517"/>
      <c r="K60" s="486" t="e">
        <f t="shared" si="0"/>
        <v>#DIV/0!</v>
      </c>
    </row>
    <row r="61" spans="2:11" ht="30" hidden="1" x14ac:dyDescent="0.2">
      <c r="B61" s="467" t="s">
        <v>426</v>
      </c>
      <c r="C61" s="514" t="s">
        <v>374</v>
      </c>
      <c r="D61" s="514" t="s">
        <v>371</v>
      </c>
      <c r="E61" s="516" t="s">
        <v>762</v>
      </c>
      <c r="F61" s="516" t="s">
        <v>777</v>
      </c>
      <c r="G61" s="514" t="s">
        <v>755</v>
      </c>
      <c r="H61" s="517"/>
      <c r="I61" s="518"/>
      <c r="J61" s="517"/>
      <c r="K61" s="486" t="e">
        <f t="shared" si="0"/>
        <v>#DIV/0!</v>
      </c>
    </row>
    <row r="62" spans="2:11" ht="30" hidden="1" x14ac:dyDescent="0.2">
      <c r="B62" s="467" t="s">
        <v>426</v>
      </c>
      <c r="C62" s="514" t="s">
        <v>374</v>
      </c>
      <c r="D62" s="514" t="s">
        <v>371</v>
      </c>
      <c r="E62" s="516" t="s">
        <v>762</v>
      </c>
      <c r="F62" s="516" t="s">
        <v>778</v>
      </c>
      <c r="G62" s="514" t="s">
        <v>755</v>
      </c>
      <c r="H62" s="517"/>
      <c r="I62" s="518"/>
      <c r="J62" s="517"/>
      <c r="K62" s="486" t="e">
        <f t="shared" si="0"/>
        <v>#DIV/0!</v>
      </c>
    </row>
    <row r="63" spans="2:11" ht="51" customHeight="1" x14ac:dyDescent="0.2">
      <c r="B63" s="467" t="s">
        <v>426</v>
      </c>
      <c r="C63" s="514" t="s">
        <v>374</v>
      </c>
      <c r="D63" s="514" t="s">
        <v>371</v>
      </c>
      <c r="E63" s="516" t="s">
        <v>762</v>
      </c>
      <c r="F63" s="516" t="s">
        <v>779</v>
      </c>
      <c r="G63" s="514">
        <v>2022</v>
      </c>
      <c r="H63" s="523"/>
      <c r="I63" s="524">
        <v>-80000</v>
      </c>
      <c r="J63" s="523">
        <v>-80000</v>
      </c>
      <c r="K63" s="486">
        <v>2.4</v>
      </c>
    </row>
    <row r="64" spans="2:11" ht="45" hidden="1" x14ac:dyDescent="0.2">
      <c r="B64" s="467" t="s">
        <v>426</v>
      </c>
      <c r="C64" s="514" t="s">
        <v>374</v>
      </c>
      <c r="D64" s="514" t="s">
        <v>371</v>
      </c>
      <c r="E64" s="516" t="s">
        <v>762</v>
      </c>
      <c r="F64" s="516" t="s">
        <v>780</v>
      </c>
      <c r="G64" s="514" t="s">
        <v>755</v>
      </c>
      <c r="H64" s="517"/>
      <c r="I64" s="518"/>
      <c r="J64" s="517"/>
      <c r="K64" s="535"/>
    </row>
    <row r="65" spans="2:11" ht="45" hidden="1" x14ac:dyDescent="0.2">
      <c r="B65" s="467" t="s">
        <v>426</v>
      </c>
      <c r="C65" s="514" t="s">
        <v>374</v>
      </c>
      <c r="D65" s="514" t="s">
        <v>371</v>
      </c>
      <c r="E65" s="516" t="s">
        <v>762</v>
      </c>
      <c r="F65" s="516" t="s">
        <v>781</v>
      </c>
      <c r="G65" s="514" t="s">
        <v>755</v>
      </c>
      <c r="H65" s="517"/>
      <c r="I65" s="518"/>
      <c r="J65" s="517"/>
      <c r="K65" s="535"/>
    </row>
    <row r="66" spans="2:11" ht="30" hidden="1" x14ac:dyDescent="0.2">
      <c r="B66" s="467" t="s">
        <v>426</v>
      </c>
      <c r="C66" s="514" t="s">
        <v>374</v>
      </c>
      <c r="D66" s="514" t="s">
        <v>371</v>
      </c>
      <c r="E66" s="516" t="s">
        <v>762</v>
      </c>
      <c r="F66" s="516" t="s">
        <v>782</v>
      </c>
      <c r="G66" s="514" t="s">
        <v>755</v>
      </c>
      <c r="H66" s="517"/>
      <c r="I66" s="518"/>
      <c r="J66" s="517"/>
      <c r="K66" s="535"/>
    </row>
    <row r="67" spans="2:11" ht="45" hidden="1" x14ac:dyDescent="0.2">
      <c r="B67" s="467" t="s">
        <v>426</v>
      </c>
      <c r="C67" s="514" t="s">
        <v>374</v>
      </c>
      <c r="D67" s="514" t="s">
        <v>371</v>
      </c>
      <c r="E67" s="516" t="s">
        <v>762</v>
      </c>
      <c r="F67" s="516" t="s">
        <v>783</v>
      </c>
      <c r="G67" s="514" t="s">
        <v>755</v>
      </c>
      <c r="H67" s="517"/>
      <c r="I67" s="518"/>
      <c r="J67" s="517"/>
      <c r="K67" s="535"/>
    </row>
    <row r="68" spans="2:11" ht="30" hidden="1" x14ac:dyDescent="0.2">
      <c r="B68" s="467" t="s">
        <v>426</v>
      </c>
      <c r="C68" s="514" t="s">
        <v>374</v>
      </c>
      <c r="D68" s="514" t="s">
        <v>371</v>
      </c>
      <c r="E68" s="516" t="s">
        <v>762</v>
      </c>
      <c r="F68" s="516" t="s">
        <v>784</v>
      </c>
      <c r="G68" s="514">
        <v>2022</v>
      </c>
      <c r="H68" s="517"/>
      <c r="I68" s="518"/>
      <c r="J68" s="517"/>
      <c r="K68" s="535"/>
    </row>
    <row r="69" spans="2:11" ht="28.5" hidden="1" x14ac:dyDescent="0.2">
      <c r="B69" s="478">
        <v>1517340</v>
      </c>
      <c r="C69" s="512">
        <v>7340</v>
      </c>
      <c r="D69" s="512" t="s">
        <v>371</v>
      </c>
      <c r="E69" s="513" t="s">
        <v>430</v>
      </c>
      <c r="F69" s="536"/>
      <c r="G69" s="514"/>
      <c r="H69" s="537">
        <f>SUM(H70:H71)</f>
        <v>0</v>
      </c>
      <c r="I69" s="537">
        <f>SUM(I70:I71)</f>
        <v>0</v>
      </c>
      <c r="J69" s="537">
        <f>SUM(J70:J71)</f>
        <v>0</v>
      </c>
      <c r="K69" s="514"/>
    </row>
    <row r="70" spans="2:11" ht="90" hidden="1" x14ac:dyDescent="0.25">
      <c r="B70" s="467">
        <v>1517340</v>
      </c>
      <c r="C70" s="514">
        <v>7340</v>
      </c>
      <c r="D70" s="538" t="s">
        <v>371</v>
      </c>
      <c r="E70" s="516" t="s">
        <v>430</v>
      </c>
      <c r="F70" s="539" t="s">
        <v>785</v>
      </c>
      <c r="G70" s="514">
        <v>2022</v>
      </c>
      <c r="H70" s="517"/>
      <c r="I70" s="518"/>
      <c r="J70" s="517"/>
      <c r="K70" s="514"/>
    </row>
    <row r="71" spans="2:11" ht="75" hidden="1" x14ac:dyDescent="0.2">
      <c r="B71" s="467">
        <v>1517340</v>
      </c>
      <c r="C71" s="514">
        <v>7340</v>
      </c>
      <c r="D71" s="538" t="s">
        <v>371</v>
      </c>
      <c r="E71" s="516" t="s">
        <v>430</v>
      </c>
      <c r="F71" s="534" t="s">
        <v>786</v>
      </c>
      <c r="G71" s="514" t="s">
        <v>755</v>
      </c>
      <c r="H71" s="517"/>
      <c r="I71" s="518"/>
      <c r="J71" s="517"/>
      <c r="K71" s="540"/>
    </row>
    <row r="72" spans="2:11" ht="15" hidden="1" x14ac:dyDescent="0.25">
      <c r="B72" s="478">
        <v>1517441</v>
      </c>
      <c r="C72" s="512">
        <v>7441</v>
      </c>
      <c r="D72" s="512" t="s">
        <v>381</v>
      </c>
      <c r="E72" s="513" t="s">
        <v>433</v>
      </c>
      <c r="F72" s="541"/>
      <c r="G72" s="514"/>
      <c r="H72" s="533">
        <f>H73</f>
        <v>0</v>
      </c>
      <c r="I72" s="533">
        <f>I73</f>
        <v>0</v>
      </c>
      <c r="J72" s="542">
        <f>J73</f>
        <v>0</v>
      </c>
      <c r="K72" s="514"/>
    </row>
    <row r="73" spans="2:11" ht="30" hidden="1" x14ac:dyDescent="0.2">
      <c r="B73" s="467">
        <v>1517441</v>
      </c>
      <c r="C73" s="514">
        <v>7441</v>
      </c>
      <c r="D73" s="514" t="s">
        <v>381</v>
      </c>
      <c r="E73" s="516" t="s">
        <v>433</v>
      </c>
      <c r="F73" s="516" t="s">
        <v>787</v>
      </c>
      <c r="G73" s="514" t="s">
        <v>755</v>
      </c>
      <c r="H73" s="523"/>
      <c r="I73" s="524"/>
      <c r="J73" s="523"/>
      <c r="K73" s="486">
        <v>31.5</v>
      </c>
    </row>
    <row r="74" spans="2:11" ht="71.25" hidden="1" x14ac:dyDescent="0.2">
      <c r="B74" s="478" t="s">
        <v>434</v>
      </c>
      <c r="C74" s="512" t="s">
        <v>380</v>
      </c>
      <c r="D74" s="512" t="s">
        <v>381</v>
      </c>
      <c r="E74" s="543" t="s">
        <v>788</v>
      </c>
      <c r="F74" s="514"/>
      <c r="G74" s="514"/>
      <c r="H74" s="515">
        <f>SUM(H75:H83)</f>
        <v>0</v>
      </c>
      <c r="I74" s="515">
        <f>SUM(I75:I83)</f>
        <v>0</v>
      </c>
      <c r="J74" s="515">
        <f>SUM(J75:J83)</f>
        <v>0</v>
      </c>
      <c r="K74" s="514"/>
    </row>
    <row r="75" spans="2:11" ht="60" hidden="1" x14ac:dyDescent="0.25">
      <c r="B75" s="467" t="s">
        <v>434</v>
      </c>
      <c r="C75" s="514" t="s">
        <v>380</v>
      </c>
      <c r="D75" s="514" t="s">
        <v>381</v>
      </c>
      <c r="E75" s="539" t="s">
        <v>789</v>
      </c>
      <c r="F75" s="534" t="s">
        <v>790</v>
      </c>
      <c r="G75" s="514" t="s">
        <v>755</v>
      </c>
      <c r="H75" s="517"/>
      <c r="I75" s="518"/>
      <c r="J75" s="517"/>
      <c r="K75" s="486" t="e">
        <f t="shared" ref="K75:K83" si="1">I75/H75*100</f>
        <v>#DIV/0!</v>
      </c>
    </row>
    <row r="76" spans="2:11" ht="75" hidden="1" x14ac:dyDescent="0.25">
      <c r="B76" s="467" t="s">
        <v>434</v>
      </c>
      <c r="C76" s="514" t="s">
        <v>380</v>
      </c>
      <c r="D76" s="514" t="s">
        <v>381</v>
      </c>
      <c r="E76" s="539" t="s">
        <v>788</v>
      </c>
      <c r="F76" s="516" t="s">
        <v>791</v>
      </c>
      <c r="G76" s="514" t="s">
        <v>755</v>
      </c>
      <c r="H76" s="517"/>
      <c r="I76" s="518"/>
      <c r="J76" s="517"/>
      <c r="K76" s="486" t="e">
        <f t="shared" si="1"/>
        <v>#DIV/0!</v>
      </c>
    </row>
    <row r="77" spans="2:11" ht="90" hidden="1" x14ac:dyDescent="0.25">
      <c r="B77" s="467" t="s">
        <v>434</v>
      </c>
      <c r="C77" s="514" t="s">
        <v>380</v>
      </c>
      <c r="D77" s="514" t="s">
        <v>381</v>
      </c>
      <c r="E77" s="539" t="s">
        <v>788</v>
      </c>
      <c r="F77" s="534" t="s">
        <v>792</v>
      </c>
      <c r="G77" s="514" t="s">
        <v>755</v>
      </c>
      <c r="H77" s="517"/>
      <c r="I77" s="518"/>
      <c r="J77" s="517"/>
      <c r="K77" s="514"/>
    </row>
    <row r="78" spans="2:11" ht="75" hidden="1" x14ac:dyDescent="0.25">
      <c r="B78" s="467" t="s">
        <v>434</v>
      </c>
      <c r="C78" s="514" t="s">
        <v>380</v>
      </c>
      <c r="D78" s="514" t="s">
        <v>381</v>
      </c>
      <c r="E78" s="539" t="s">
        <v>788</v>
      </c>
      <c r="F78" s="516" t="s">
        <v>793</v>
      </c>
      <c r="G78" s="514">
        <v>2022</v>
      </c>
      <c r="H78" s="517"/>
      <c r="I78" s="518"/>
      <c r="J78" s="517"/>
      <c r="K78" s="486" t="e">
        <f t="shared" si="1"/>
        <v>#DIV/0!</v>
      </c>
    </row>
    <row r="79" spans="2:11" ht="75" hidden="1" x14ac:dyDescent="0.2">
      <c r="B79" s="467" t="s">
        <v>434</v>
      </c>
      <c r="C79" s="514" t="s">
        <v>380</v>
      </c>
      <c r="D79" s="514" t="s">
        <v>381</v>
      </c>
      <c r="E79" s="516" t="s">
        <v>788</v>
      </c>
      <c r="F79" s="516" t="s">
        <v>794</v>
      </c>
      <c r="G79" s="514">
        <v>2022</v>
      </c>
      <c r="H79" s="517"/>
      <c r="I79" s="518"/>
      <c r="J79" s="517"/>
      <c r="K79" s="486" t="e">
        <f t="shared" si="1"/>
        <v>#DIV/0!</v>
      </c>
    </row>
    <row r="80" spans="2:11" ht="75" hidden="1" x14ac:dyDescent="0.2">
      <c r="B80" s="467" t="s">
        <v>434</v>
      </c>
      <c r="C80" s="514" t="s">
        <v>380</v>
      </c>
      <c r="D80" s="514" t="s">
        <v>381</v>
      </c>
      <c r="E80" s="534" t="s">
        <v>788</v>
      </c>
      <c r="F80" s="516" t="s">
        <v>795</v>
      </c>
      <c r="G80" s="514">
        <v>2022</v>
      </c>
      <c r="H80" s="517"/>
      <c r="I80" s="518"/>
      <c r="J80" s="517"/>
      <c r="K80" s="486" t="e">
        <f t="shared" si="1"/>
        <v>#DIV/0!</v>
      </c>
    </row>
    <row r="81" spans="2:17" ht="75" hidden="1" x14ac:dyDescent="0.2">
      <c r="B81" s="467" t="s">
        <v>434</v>
      </c>
      <c r="C81" s="514" t="s">
        <v>380</v>
      </c>
      <c r="D81" s="514" t="s">
        <v>381</v>
      </c>
      <c r="E81" s="534" t="s">
        <v>788</v>
      </c>
      <c r="F81" s="516" t="s">
        <v>796</v>
      </c>
      <c r="G81" s="514">
        <v>2022</v>
      </c>
      <c r="H81" s="517"/>
      <c r="I81" s="518"/>
      <c r="J81" s="517"/>
      <c r="K81" s="486" t="e">
        <f t="shared" si="1"/>
        <v>#DIV/0!</v>
      </c>
    </row>
    <row r="82" spans="2:17" ht="75" hidden="1" x14ac:dyDescent="0.2">
      <c r="B82" s="467" t="s">
        <v>434</v>
      </c>
      <c r="C82" s="514" t="s">
        <v>380</v>
      </c>
      <c r="D82" s="514" t="s">
        <v>381</v>
      </c>
      <c r="E82" s="534" t="s">
        <v>788</v>
      </c>
      <c r="F82" s="516" t="s">
        <v>797</v>
      </c>
      <c r="G82" s="514" t="s">
        <v>755</v>
      </c>
      <c r="H82" s="517"/>
      <c r="I82" s="518"/>
      <c r="J82" s="517"/>
      <c r="K82" s="486" t="e">
        <f t="shared" si="1"/>
        <v>#DIV/0!</v>
      </c>
    </row>
    <row r="83" spans="2:17" ht="75" hidden="1" x14ac:dyDescent="0.2">
      <c r="B83" s="467" t="s">
        <v>434</v>
      </c>
      <c r="C83" s="514" t="s">
        <v>380</v>
      </c>
      <c r="D83" s="514" t="s">
        <v>381</v>
      </c>
      <c r="E83" s="534" t="s">
        <v>788</v>
      </c>
      <c r="F83" s="516" t="s">
        <v>798</v>
      </c>
      <c r="G83" s="514" t="s">
        <v>755</v>
      </c>
      <c r="H83" s="517"/>
      <c r="I83" s="518"/>
      <c r="J83" s="517"/>
      <c r="K83" s="486" t="e">
        <f t="shared" si="1"/>
        <v>#DIV/0!</v>
      </c>
    </row>
    <row r="84" spans="2:17" ht="22.5" customHeight="1" x14ac:dyDescent="0.2">
      <c r="B84" s="467" t="s">
        <v>799</v>
      </c>
      <c r="C84" s="467" t="s">
        <v>799</v>
      </c>
      <c r="D84" s="467" t="s">
        <v>799</v>
      </c>
      <c r="E84" s="467" t="s">
        <v>8</v>
      </c>
      <c r="F84" s="467" t="s">
        <v>799</v>
      </c>
      <c r="G84" s="467" t="s">
        <v>799</v>
      </c>
      <c r="H84" s="544">
        <f>H26+H15</f>
        <v>1538159</v>
      </c>
      <c r="I84" s="544">
        <f>I26+I15</f>
        <v>367408</v>
      </c>
      <c r="J84" s="544">
        <f>J26+J15</f>
        <v>0</v>
      </c>
      <c r="K84" s="510" t="s">
        <v>799</v>
      </c>
    </row>
    <row r="85" spans="2:17" ht="15.75" x14ac:dyDescent="0.2">
      <c r="B85" s="398"/>
    </row>
    <row r="88" spans="2:17" s="70" customFormat="1" ht="20.25" customHeight="1" x14ac:dyDescent="0.3">
      <c r="B88" s="390"/>
      <c r="C88" s="390"/>
      <c r="D88" s="390"/>
      <c r="E88" s="617" t="s">
        <v>727</v>
      </c>
      <c r="F88" s="617"/>
      <c r="G88" s="390"/>
      <c r="H88" s="73" t="s">
        <v>728</v>
      </c>
      <c r="I88" s="390"/>
      <c r="J88" s="391"/>
      <c r="K88" s="390"/>
      <c r="L88" s="390"/>
      <c r="M88" s="390"/>
      <c r="N88" s="390"/>
      <c r="O88" s="390"/>
      <c r="P88" s="390"/>
      <c r="Q88" s="390"/>
    </row>
    <row r="94" spans="2:17" x14ac:dyDescent="0.2">
      <c r="J94" s="462">
        <v>86616848</v>
      </c>
    </row>
  </sheetData>
  <autoFilter ref="B14:P84" xr:uid="{00000000-0009-0000-0000-000006000000}">
    <filterColumn colId="8">
      <filters>
        <filter val="0,00"/>
        <filter val="1 032 392,00"/>
        <filter val="-200 000,00"/>
        <filter val="350 043,00"/>
        <filter val="-350 043,00"/>
        <filter val="-41 000,00"/>
        <filter val="-45 000,00"/>
        <filter val="-467 661,00"/>
        <filter val="-48 688,00"/>
        <filter val="-70 000,00"/>
        <filter val="-80 000,00"/>
        <filter val="-80 043,00"/>
      </filters>
    </filterColumn>
  </autoFilter>
  <mergeCells count="6">
    <mergeCell ref="E88:F88"/>
    <mergeCell ref="G1:L3"/>
    <mergeCell ref="H4:L4"/>
    <mergeCell ref="B6:K6"/>
    <mergeCell ref="B7:K7"/>
    <mergeCell ref="B8:K8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filterMode="1">
    <pageSetUpPr fitToPage="1"/>
  </sheetPr>
  <dimension ref="A1:Q134"/>
  <sheetViews>
    <sheetView view="pageBreakPreview" zoomScale="62" zoomScaleNormal="75" zoomScaleSheetLayoutView="62" workbookViewId="0">
      <selection activeCell="E105" sqref="E105"/>
    </sheetView>
  </sheetViews>
  <sheetFormatPr defaultRowHeight="15.75" x14ac:dyDescent="0.25"/>
  <cols>
    <col min="1" max="1" width="3.28515625" style="7" customWidth="1"/>
    <col min="2" max="2" width="17.42578125" style="298" customWidth="1"/>
    <col min="3" max="3" width="19.28515625" style="298" customWidth="1"/>
    <col min="4" max="4" width="21.85546875" style="298" customWidth="1"/>
    <col min="5" max="5" width="57.85546875" style="298" customWidth="1"/>
    <col min="6" max="6" width="66.85546875" style="298" customWidth="1"/>
    <col min="7" max="7" width="36.7109375" style="298" customWidth="1"/>
    <col min="8" max="8" width="18.140625" style="298" customWidth="1"/>
    <col min="9" max="9" width="19.5703125" style="298" customWidth="1"/>
    <col min="10" max="10" width="16.5703125" style="298" customWidth="1"/>
    <col min="11" max="11" width="21.140625" style="7" customWidth="1"/>
    <col min="12" max="12" width="1.42578125" style="7" customWidth="1"/>
    <col min="13" max="13" width="19.140625" style="7" customWidth="1"/>
    <col min="14" max="14" width="7" style="7" customWidth="1"/>
    <col min="15" max="15" width="7.85546875" style="7" customWidth="1"/>
    <col min="16" max="256" width="9.140625" style="7"/>
    <col min="257" max="257" width="3.28515625" style="7" customWidth="1"/>
    <col min="258" max="258" width="17.42578125" style="7" customWidth="1"/>
    <col min="259" max="259" width="19.28515625" style="7" customWidth="1"/>
    <col min="260" max="260" width="21.85546875" style="7" customWidth="1"/>
    <col min="261" max="261" width="57.85546875" style="7" customWidth="1"/>
    <col min="262" max="262" width="66.28515625" style="7" customWidth="1"/>
    <col min="263" max="263" width="36.7109375" style="7" customWidth="1"/>
    <col min="264" max="264" width="18.140625" style="7" customWidth="1"/>
    <col min="265" max="265" width="19.5703125" style="7" customWidth="1"/>
    <col min="266" max="266" width="16.5703125" style="7" customWidth="1"/>
    <col min="267" max="267" width="21.140625" style="7" customWidth="1"/>
    <col min="268" max="268" width="1.42578125" style="7" customWidth="1"/>
    <col min="269" max="269" width="19.140625" style="7" customWidth="1"/>
    <col min="270" max="270" width="7" style="7" customWidth="1"/>
    <col min="271" max="271" width="7.85546875" style="7" customWidth="1"/>
    <col min="272" max="512" width="9.140625" style="7"/>
    <col min="513" max="513" width="3.28515625" style="7" customWidth="1"/>
    <col min="514" max="514" width="17.42578125" style="7" customWidth="1"/>
    <col min="515" max="515" width="19.28515625" style="7" customWidth="1"/>
    <col min="516" max="516" width="21.85546875" style="7" customWidth="1"/>
    <col min="517" max="517" width="57.85546875" style="7" customWidth="1"/>
    <col min="518" max="518" width="66.28515625" style="7" customWidth="1"/>
    <col min="519" max="519" width="36.7109375" style="7" customWidth="1"/>
    <col min="520" max="520" width="18.140625" style="7" customWidth="1"/>
    <col min="521" max="521" width="19.5703125" style="7" customWidth="1"/>
    <col min="522" max="522" width="16.5703125" style="7" customWidth="1"/>
    <col min="523" max="523" width="21.140625" style="7" customWidth="1"/>
    <col min="524" max="524" width="1.42578125" style="7" customWidth="1"/>
    <col min="525" max="525" width="19.140625" style="7" customWidth="1"/>
    <col min="526" max="526" width="7" style="7" customWidth="1"/>
    <col min="527" max="527" width="7.85546875" style="7" customWidth="1"/>
    <col min="528" max="768" width="9.140625" style="7"/>
    <col min="769" max="769" width="3.28515625" style="7" customWidth="1"/>
    <col min="770" max="770" width="17.42578125" style="7" customWidth="1"/>
    <col min="771" max="771" width="19.28515625" style="7" customWidth="1"/>
    <col min="772" max="772" width="21.85546875" style="7" customWidth="1"/>
    <col min="773" max="773" width="57.85546875" style="7" customWidth="1"/>
    <col min="774" max="774" width="66.28515625" style="7" customWidth="1"/>
    <col min="775" max="775" width="36.7109375" style="7" customWidth="1"/>
    <col min="776" max="776" width="18.140625" style="7" customWidth="1"/>
    <col min="777" max="777" width="19.5703125" style="7" customWidth="1"/>
    <col min="778" max="778" width="16.5703125" style="7" customWidth="1"/>
    <col min="779" max="779" width="21.140625" style="7" customWidth="1"/>
    <col min="780" max="780" width="1.42578125" style="7" customWidth="1"/>
    <col min="781" max="781" width="19.140625" style="7" customWidth="1"/>
    <col min="782" max="782" width="7" style="7" customWidth="1"/>
    <col min="783" max="783" width="7.85546875" style="7" customWidth="1"/>
    <col min="784" max="1024" width="9.140625" style="7"/>
    <col min="1025" max="1025" width="3.28515625" style="7" customWidth="1"/>
    <col min="1026" max="1026" width="17.42578125" style="7" customWidth="1"/>
    <col min="1027" max="1027" width="19.28515625" style="7" customWidth="1"/>
    <col min="1028" max="1028" width="21.85546875" style="7" customWidth="1"/>
    <col min="1029" max="1029" width="57.85546875" style="7" customWidth="1"/>
    <col min="1030" max="1030" width="66.28515625" style="7" customWidth="1"/>
    <col min="1031" max="1031" width="36.7109375" style="7" customWidth="1"/>
    <col min="1032" max="1032" width="18.140625" style="7" customWidth="1"/>
    <col min="1033" max="1033" width="19.5703125" style="7" customWidth="1"/>
    <col min="1034" max="1034" width="16.5703125" style="7" customWidth="1"/>
    <col min="1035" max="1035" width="21.140625" style="7" customWidth="1"/>
    <col min="1036" max="1036" width="1.42578125" style="7" customWidth="1"/>
    <col min="1037" max="1037" width="19.140625" style="7" customWidth="1"/>
    <col min="1038" max="1038" width="7" style="7" customWidth="1"/>
    <col min="1039" max="1039" width="7.85546875" style="7" customWidth="1"/>
    <col min="1040" max="1280" width="9.140625" style="7"/>
    <col min="1281" max="1281" width="3.28515625" style="7" customWidth="1"/>
    <col min="1282" max="1282" width="17.42578125" style="7" customWidth="1"/>
    <col min="1283" max="1283" width="19.28515625" style="7" customWidth="1"/>
    <col min="1284" max="1284" width="21.85546875" style="7" customWidth="1"/>
    <col min="1285" max="1285" width="57.85546875" style="7" customWidth="1"/>
    <col min="1286" max="1286" width="66.28515625" style="7" customWidth="1"/>
    <col min="1287" max="1287" width="36.7109375" style="7" customWidth="1"/>
    <col min="1288" max="1288" width="18.140625" style="7" customWidth="1"/>
    <col min="1289" max="1289" width="19.5703125" style="7" customWidth="1"/>
    <col min="1290" max="1290" width="16.5703125" style="7" customWidth="1"/>
    <col min="1291" max="1291" width="21.140625" style="7" customWidth="1"/>
    <col min="1292" max="1292" width="1.42578125" style="7" customWidth="1"/>
    <col min="1293" max="1293" width="19.140625" style="7" customWidth="1"/>
    <col min="1294" max="1294" width="7" style="7" customWidth="1"/>
    <col min="1295" max="1295" width="7.85546875" style="7" customWidth="1"/>
    <col min="1296" max="1536" width="9.140625" style="7"/>
    <col min="1537" max="1537" width="3.28515625" style="7" customWidth="1"/>
    <col min="1538" max="1538" width="17.42578125" style="7" customWidth="1"/>
    <col min="1539" max="1539" width="19.28515625" style="7" customWidth="1"/>
    <col min="1540" max="1540" width="21.85546875" style="7" customWidth="1"/>
    <col min="1541" max="1541" width="57.85546875" style="7" customWidth="1"/>
    <col min="1542" max="1542" width="66.28515625" style="7" customWidth="1"/>
    <col min="1543" max="1543" width="36.7109375" style="7" customWidth="1"/>
    <col min="1544" max="1544" width="18.140625" style="7" customWidth="1"/>
    <col min="1545" max="1545" width="19.5703125" style="7" customWidth="1"/>
    <col min="1546" max="1546" width="16.5703125" style="7" customWidth="1"/>
    <col min="1547" max="1547" width="21.140625" style="7" customWidth="1"/>
    <col min="1548" max="1548" width="1.42578125" style="7" customWidth="1"/>
    <col min="1549" max="1549" width="19.140625" style="7" customWidth="1"/>
    <col min="1550" max="1550" width="7" style="7" customWidth="1"/>
    <col min="1551" max="1551" width="7.85546875" style="7" customWidth="1"/>
    <col min="1552" max="1792" width="9.140625" style="7"/>
    <col min="1793" max="1793" width="3.28515625" style="7" customWidth="1"/>
    <col min="1794" max="1794" width="17.42578125" style="7" customWidth="1"/>
    <col min="1795" max="1795" width="19.28515625" style="7" customWidth="1"/>
    <col min="1796" max="1796" width="21.85546875" style="7" customWidth="1"/>
    <col min="1797" max="1797" width="57.85546875" style="7" customWidth="1"/>
    <col min="1798" max="1798" width="66.28515625" style="7" customWidth="1"/>
    <col min="1799" max="1799" width="36.7109375" style="7" customWidth="1"/>
    <col min="1800" max="1800" width="18.140625" style="7" customWidth="1"/>
    <col min="1801" max="1801" width="19.5703125" style="7" customWidth="1"/>
    <col min="1802" max="1802" width="16.5703125" style="7" customWidth="1"/>
    <col min="1803" max="1803" width="21.140625" style="7" customWidth="1"/>
    <col min="1804" max="1804" width="1.42578125" style="7" customWidth="1"/>
    <col min="1805" max="1805" width="19.140625" style="7" customWidth="1"/>
    <col min="1806" max="1806" width="7" style="7" customWidth="1"/>
    <col min="1807" max="1807" width="7.85546875" style="7" customWidth="1"/>
    <col min="1808" max="2048" width="9.140625" style="7"/>
    <col min="2049" max="2049" width="3.28515625" style="7" customWidth="1"/>
    <col min="2050" max="2050" width="17.42578125" style="7" customWidth="1"/>
    <col min="2051" max="2051" width="19.28515625" style="7" customWidth="1"/>
    <col min="2052" max="2052" width="21.85546875" style="7" customWidth="1"/>
    <col min="2053" max="2053" width="57.85546875" style="7" customWidth="1"/>
    <col min="2054" max="2054" width="66.28515625" style="7" customWidth="1"/>
    <col min="2055" max="2055" width="36.7109375" style="7" customWidth="1"/>
    <col min="2056" max="2056" width="18.140625" style="7" customWidth="1"/>
    <col min="2057" max="2057" width="19.5703125" style="7" customWidth="1"/>
    <col min="2058" max="2058" width="16.5703125" style="7" customWidth="1"/>
    <col min="2059" max="2059" width="21.140625" style="7" customWidth="1"/>
    <col min="2060" max="2060" width="1.42578125" style="7" customWidth="1"/>
    <col min="2061" max="2061" width="19.140625" style="7" customWidth="1"/>
    <col min="2062" max="2062" width="7" style="7" customWidth="1"/>
    <col min="2063" max="2063" width="7.85546875" style="7" customWidth="1"/>
    <col min="2064" max="2304" width="9.140625" style="7"/>
    <col min="2305" max="2305" width="3.28515625" style="7" customWidth="1"/>
    <col min="2306" max="2306" width="17.42578125" style="7" customWidth="1"/>
    <col min="2307" max="2307" width="19.28515625" style="7" customWidth="1"/>
    <col min="2308" max="2308" width="21.85546875" style="7" customWidth="1"/>
    <col min="2309" max="2309" width="57.85546875" style="7" customWidth="1"/>
    <col min="2310" max="2310" width="66.28515625" style="7" customWidth="1"/>
    <col min="2311" max="2311" width="36.7109375" style="7" customWidth="1"/>
    <col min="2312" max="2312" width="18.140625" style="7" customWidth="1"/>
    <col min="2313" max="2313" width="19.5703125" style="7" customWidth="1"/>
    <col min="2314" max="2314" width="16.5703125" style="7" customWidth="1"/>
    <col min="2315" max="2315" width="21.140625" style="7" customWidth="1"/>
    <col min="2316" max="2316" width="1.42578125" style="7" customWidth="1"/>
    <col min="2317" max="2317" width="19.140625" style="7" customWidth="1"/>
    <col min="2318" max="2318" width="7" style="7" customWidth="1"/>
    <col min="2319" max="2319" width="7.85546875" style="7" customWidth="1"/>
    <col min="2320" max="2560" width="9.140625" style="7"/>
    <col min="2561" max="2561" width="3.28515625" style="7" customWidth="1"/>
    <col min="2562" max="2562" width="17.42578125" style="7" customWidth="1"/>
    <col min="2563" max="2563" width="19.28515625" style="7" customWidth="1"/>
    <col min="2564" max="2564" width="21.85546875" style="7" customWidth="1"/>
    <col min="2565" max="2565" width="57.85546875" style="7" customWidth="1"/>
    <col min="2566" max="2566" width="66.28515625" style="7" customWidth="1"/>
    <col min="2567" max="2567" width="36.7109375" style="7" customWidth="1"/>
    <col min="2568" max="2568" width="18.140625" style="7" customWidth="1"/>
    <col min="2569" max="2569" width="19.5703125" style="7" customWidth="1"/>
    <col min="2570" max="2570" width="16.5703125" style="7" customWidth="1"/>
    <col min="2571" max="2571" width="21.140625" style="7" customWidth="1"/>
    <col min="2572" max="2572" width="1.42578125" style="7" customWidth="1"/>
    <col min="2573" max="2573" width="19.140625" style="7" customWidth="1"/>
    <col min="2574" max="2574" width="7" style="7" customWidth="1"/>
    <col min="2575" max="2575" width="7.85546875" style="7" customWidth="1"/>
    <col min="2576" max="2816" width="9.140625" style="7"/>
    <col min="2817" max="2817" width="3.28515625" style="7" customWidth="1"/>
    <col min="2818" max="2818" width="17.42578125" style="7" customWidth="1"/>
    <col min="2819" max="2819" width="19.28515625" style="7" customWidth="1"/>
    <col min="2820" max="2820" width="21.85546875" style="7" customWidth="1"/>
    <col min="2821" max="2821" width="57.85546875" style="7" customWidth="1"/>
    <col min="2822" max="2822" width="66.28515625" style="7" customWidth="1"/>
    <col min="2823" max="2823" width="36.7109375" style="7" customWidth="1"/>
    <col min="2824" max="2824" width="18.140625" style="7" customWidth="1"/>
    <col min="2825" max="2825" width="19.5703125" style="7" customWidth="1"/>
    <col min="2826" max="2826" width="16.5703125" style="7" customWidth="1"/>
    <col min="2827" max="2827" width="21.140625" style="7" customWidth="1"/>
    <col min="2828" max="2828" width="1.42578125" style="7" customWidth="1"/>
    <col min="2829" max="2829" width="19.140625" style="7" customWidth="1"/>
    <col min="2830" max="2830" width="7" style="7" customWidth="1"/>
    <col min="2831" max="2831" width="7.85546875" style="7" customWidth="1"/>
    <col min="2832" max="3072" width="9.140625" style="7"/>
    <col min="3073" max="3073" width="3.28515625" style="7" customWidth="1"/>
    <col min="3074" max="3074" width="17.42578125" style="7" customWidth="1"/>
    <col min="3075" max="3075" width="19.28515625" style="7" customWidth="1"/>
    <col min="3076" max="3076" width="21.85546875" style="7" customWidth="1"/>
    <col min="3077" max="3077" width="57.85546875" style="7" customWidth="1"/>
    <col min="3078" max="3078" width="66.28515625" style="7" customWidth="1"/>
    <col min="3079" max="3079" width="36.7109375" style="7" customWidth="1"/>
    <col min="3080" max="3080" width="18.140625" style="7" customWidth="1"/>
    <col min="3081" max="3081" width="19.5703125" style="7" customWidth="1"/>
    <col min="3082" max="3082" width="16.5703125" style="7" customWidth="1"/>
    <col min="3083" max="3083" width="21.140625" style="7" customWidth="1"/>
    <col min="3084" max="3084" width="1.42578125" style="7" customWidth="1"/>
    <col min="3085" max="3085" width="19.140625" style="7" customWidth="1"/>
    <col min="3086" max="3086" width="7" style="7" customWidth="1"/>
    <col min="3087" max="3087" width="7.85546875" style="7" customWidth="1"/>
    <col min="3088" max="3328" width="9.140625" style="7"/>
    <col min="3329" max="3329" width="3.28515625" style="7" customWidth="1"/>
    <col min="3330" max="3330" width="17.42578125" style="7" customWidth="1"/>
    <col min="3331" max="3331" width="19.28515625" style="7" customWidth="1"/>
    <col min="3332" max="3332" width="21.85546875" style="7" customWidth="1"/>
    <col min="3333" max="3333" width="57.85546875" style="7" customWidth="1"/>
    <col min="3334" max="3334" width="66.28515625" style="7" customWidth="1"/>
    <col min="3335" max="3335" width="36.7109375" style="7" customWidth="1"/>
    <col min="3336" max="3336" width="18.140625" style="7" customWidth="1"/>
    <col min="3337" max="3337" width="19.5703125" style="7" customWidth="1"/>
    <col min="3338" max="3338" width="16.5703125" style="7" customWidth="1"/>
    <col min="3339" max="3339" width="21.140625" style="7" customWidth="1"/>
    <col min="3340" max="3340" width="1.42578125" style="7" customWidth="1"/>
    <col min="3341" max="3341" width="19.140625" style="7" customWidth="1"/>
    <col min="3342" max="3342" width="7" style="7" customWidth="1"/>
    <col min="3343" max="3343" width="7.85546875" style="7" customWidth="1"/>
    <col min="3344" max="3584" width="9.140625" style="7"/>
    <col min="3585" max="3585" width="3.28515625" style="7" customWidth="1"/>
    <col min="3586" max="3586" width="17.42578125" style="7" customWidth="1"/>
    <col min="3587" max="3587" width="19.28515625" style="7" customWidth="1"/>
    <col min="3588" max="3588" width="21.85546875" style="7" customWidth="1"/>
    <col min="3589" max="3589" width="57.85546875" style="7" customWidth="1"/>
    <col min="3590" max="3590" width="66.28515625" style="7" customWidth="1"/>
    <col min="3591" max="3591" width="36.7109375" style="7" customWidth="1"/>
    <col min="3592" max="3592" width="18.140625" style="7" customWidth="1"/>
    <col min="3593" max="3593" width="19.5703125" style="7" customWidth="1"/>
    <col min="3594" max="3594" width="16.5703125" style="7" customWidth="1"/>
    <col min="3595" max="3595" width="21.140625" style="7" customWidth="1"/>
    <col min="3596" max="3596" width="1.42578125" style="7" customWidth="1"/>
    <col min="3597" max="3597" width="19.140625" style="7" customWidth="1"/>
    <col min="3598" max="3598" width="7" style="7" customWidth="1"/>
    <col min="3599" max="3599" width="7.85546875" style="7" customWidth="1"/>
    <col min="3600" max="3840" width="9.140625" style="7"/>
    <col min="3841" max="3841" width="3.28515625" style="7" customWidth="1"/>
    <col min="3842" max="3842" width="17.42578125" style="7" customWidth="1"/>
    <col min="3843" max="3843" width="19.28515625" style="7" customWidth="1"/>
    <col min="3844" max="3844" width="21.85546875" style="7" customWidth="1"/>
    <col min="3845" max="3845" width="57.85546875" style="7" customWidth="1"/>
    <col min="3846" max="3846" width="66.28515625" style="7" customWidth="1"/>
    <col min="3847" max="3847" width="36.7109375" style="7" customWidth="1"/>
    <col min="3848" max="3848" width="18.140625" style="7" customWidth="1"/>
    <col min="3849" max="3849" width="19.5703125" style="7" customWidth="1"/>
    <col min="3850" max="3850" width="16.5703125" style="7" customWidth="1"/>
    <col min="3851" max="3851" width="21.140625" style="7" customWidth="1"/>
    <col min="3852" max="3852" width="1.42578125" style="7" customWidth="1"/>
    <col min="3853" max="3853" width="19.140625" style="7" customWidth="1"/>
    <col min="3854" max="3854" width="7" style="7" customWidth="1"/>
    <col min="3855" max="3855" width="7.85546875" style="7" customWidth="1"/>
    <col min="3856" max="4096" width="9.140625" style="7"/>
    <col min="4097" max="4097" width="3.28515625" style="7" customWidth="1"/>
    <col min="4098" max="4098" width="17.42578125" style="7" customWidth="1"/>
    <col min="4099" max="4099" width="19.28515625" style="7" customWidth="1"/>
    <col min="4100" max="4100" width="21.85546875" style="7" customWidth="1"/>
    <col min="4101" max="4101" width="57.85546875" style="7" customWidth="1"/>
    <col min="4102" max="4102" width="66.28515625" style="7" customWidth="1"/>
    <col min="4103" max="4103" width="36.7109375" style="7" customWidth="1"/>
    <col min="4104" max="4104" width="18.140625" style="7" customWidth="1"/>
    <col min="4105" max="4105" width="19.5703125" style="7" customWidth="1"/>
    <col min="4106" max="4106" width="16.5703125" style="7" customWidth="1"/>
    <col min="4107" max="4107" width="21.140625" style="7" customWidth="1"/>
    <col min="4108" max="4108" width="1.42578125" style="7" customWidth="1"/>
    <col min="4109" max="4109" width="19.140625" style="7" customWidth="1"/>
    <col min="4110" max="4110" width="7" style="7" customWidth="1"/>
    <col min="4111" max="4111" width="7.85546875" style="7" customWidth="1"/>
    <col min="4112" max="4352" width="9.140625" style="7"/>
    <col min="4353" max="4353" width="3.28515625" style="7" customWidth="1"/>
    <col min="4354" max="4354" width="17.42578125" style="7" customWidth="1"/>
    <col min="4355" max="4355" width="19.28515625" style="7" customWidth="1"/>
    <col min="4356" max="4356" width="21.85546875" style="7" customWidth="1"/>
    <col min="4357" max="4357" width="57.85546875" style="7" customWidth="1"/>
    <col min="4358" max="4358" width="66.28515625" style="7" customWidth="1"/>
    <col min="4359" max="4359" width="36.7109375" style="7" customWidth="1"/>
    <col min="4360" max="4360" width="18.140625" style="7" customWidth="1"/>
    <col min="4361" max="4361" width="19.5703125" style="7" customWidth="1"/>
    <col min="4362" max="4362" width="16.5703125" style="7" customWidth="1"/>
    <col min="4363" max="4363" width="21.140625" style="7" customWidth="1"/>
    <col min="4364" max="4364" width="1.42578125" style="7" customWidth="1"/>
    <col min="4365" max="4365" width="19.140625" style="7" customWidth="1"/>
    <col min="4366" max="4366" width="7" style="7" customWidth="1"/>
    <col min="4367" max="4367" width="7.85546875" style="7" customWidth="1"/>
    <col min="4368" max="4608" width="9.140625" style="7"/>
    <col min="4609" max="4609" width="3.28515625" style="7" customWidth="1"/>
    <col min="4610" max="4610" width="17.42578125" style="7" customWidth="1"/>
    <col min="4611" max="4611" width="19.28515625" style="7" customWidth="1"/>
    <col min="4612" max="4612" width="21.85546875" style="7" customWidth="1"/>
    <col min="4613" max="4613" width="57.85546875" style="7" customWidth="1"/>
    <col min="4614" max="4614" width="66.28515625" style="7" customWidth="1"/>
    <col min="4615" max="4615" width="36.7109375" style="7" customWidth="1"/>
    <col min="4616" max="4616" width="18.140625" style="7" customWidth="1"/>
    <col min="4617" max="4617" width="19.5703125" style="7" customWidth="1"/>
    <col min="4618" max="4618" width="16.5703125" style="7" customWidth="1"/>
    <col min="4619" max="4619" width="21.140625" style="7" customWidth="1"/>
    <col min="4620" max="4620" width="1.42578125" style="7" customWidth="1"/>
    <col min="4621" max="4621" width="19.140625" style="7" customWidth="1"/>
    <col min="4622" max="4622" width="7" style="7" customWidth="1"/>
    <col min="4623" max="4623" width="7.85546875" style="7" customWidth="1"/>
    <col min="4624" max="4864" width="9.140625" style="7"/>
    <col min="4865" max="4865" width="3.28515625" style="7" customWidth="1"/>
    <col min="4866" max="4866" width="17.42578125" style="7" customWidth="1"/>
    <col min="4867" max="4867" width="19.28515625" style="7" customWidth="1"/>
    <col min="4868" max="4868" width="21.85546875" style="7" customWidth="1"/>
    <col min="4869" max="4869" width="57.85546875" style="7" customWidth="1"/>
    <col min="4870" max="4870" width="66.28515625" style="7" customWidth="1"/>
    <col min="4871" max="4871" width="36.7109375" style="7" customWidth="1"/>
    <col min="4872" max="4872" width="18.140625" style="7" customWidth="1"/>
    <col min="4873" max="4873" width="19.5703125" style="7" customWidth="1"/>
    <col min="4874" max="4874" width="16.5703125" style="7" customWidth="1"/>
    <col min="4875" max="4875" width="21.140625" style="7" customWidth="1"/>
    <col min="4876" max="4876" width="1.42578125" style="7" customWidth="1"/>
    <col min="4877" max="4877" width="19.140625" style="7" customWidth="1"/>
    <col min="4878" max="4878" width="7" style="7" customWidth="1"/>
    <col min="4879" max="4879" width="7.85546875" style="7" customWidth="1"/>
    <col min="4880" max="5120" width="9.140625" style="7"/>
    <col min="5121" max="5121" width="3.28515625" style="7" customWidth="1"/>
    <col min="5122" max="5122" width="17.42578125" style="7" customWidth="1"/>
    <col min="5123" max="5123" width="19.28515625" style="7" customWidth="1"/>
    <col min="5124" max="5124" width="21.85546875" style="7" customWidth="1"/>
    <col min="5125" max="5125" width="57.85546875" style="7" customWidth="1"/>
    <col min="5126" max="5126" width="66.28515625" style="7" customWidth="1"/>
    <col min="5127" max="5127" width="36.7109375" style="7" customWidth="1"/>
    <col min="5128" max="5128" width="18.140625" style="7" customWidth="1"/>
    <col min="5129" max="5129" width="19.5703125" style="7" customWidth="1"/>
    <col min="5130" max="5130" width="16.5703125" style="7" customWidth="1"/>
    <col min="5131" max="5131" width="21.140625" style="7" customWidth="1"/>
    <col min="5132" max="5132" width="1.42578125" style="7" customWidth="1"/>
    <col min="5133" max="5133" width="19.140625" style="7" customWidth="1"/>
    <col min="5134" max="5134" width="7" style="7" customWidth="1"/>
    <col min="5135" max="5135" width="7.85546875" style="7" customWidth="1"/>
    <col min="5136" max="5376" width="9.140625" style="7"/>
    <col min="5377" max="5377" width="3.28515625" style="7" customWidth="1"/>
    <col min="5378" max="5378" width="17.42578125" style="7" customWidth="1"/>
    <col min="5379" max="5379" width="19.28515625" style="7" customWidth="1"/>
    <col min="5380" max="5380" width="21.85546875" style="7" customWidth="1"/>
    <col min="5381" max="5381" width="57.85546875" style="7" customWidth="1"/>
    <col min="5382" max="5382" width="66.28515625" style="7" customWidth="1"/>
    <col min="5383" max="5383" width="36.7109375" style="7" customWidth="1"/>
    <col min="5384" max="5384" width="18.140625" style="7" customWidth="1"/>
    <col min="5385" max="5385" width="19.5703125" style="7" customWidth="1"/>
    <col min="5386" max="5386" width="16.5703125" style="7" customWidth="1"/>
    <col min="5387" max="5387" width="21.140625" style="7" customWidth="1"/>
    <col min="5388" max="5388" width="1.42578125" style="7" customWidth="1"/>
    <col min="5389" max="5389" width="19.140625" style="7" customWidth="1"/>
    <col min="5390" max="5390" width="7" style="7" customWidth="1"/>
    <col min="5391" max="5391" width="7.85546875" style="7" customWidth="1"/>
    <col min="5392" max="5632" width="9.140625" style="7"/>
    <col min="5633" max="5633" width="3.28515625" style="7" customWidth="1"/>
    <col min="5634" max="5634" width="17.42578125" style="7" customWidth="1"/>
    <col min="5635" max="5635" width="19.28515625" style="7" customWidth="1"/>
    <col min="5636" max="5636" width="21.85546875" style="7" customWidth="1"/>
    <col min="5637" max="5637" width="57.85546875" style="7" customWidth="1"/>
    <col min="5638" max="5638" width="66.28515625" style="7" customWidth="1"/>
    <col min="5639" max="5639" width="36.7109375" style="7" customWidth="1"/>
    <col min="5640" max="5640" width="18.140625" style="7" customWidth="1"/>
    <col min="5641" max="5641" width="19.5703125" style="7" customWidth="1"/>
    <col min="5642" max="5642" width="16.5703125" style="7" customWidth="1"/>
    <col min="5643" max="5643" width="21.140625" style="7" customWidth="1"/>
    <col min="5644" max="5644" width="1.42578125" style="7" customWidth="1"/>
    <col min="5645" max="5645" width="19.140625" style="7" customWidth="1"/>
    <col min="5646" max="5646" width="7" style="7" customWidth="1"/>
    <col min="5647" max="5647" width="7.85546875" style="7" customWidth="1"/>
    <col min="5648" max="5888" width="9.140625" style="7"/>
    <col min="5889" max="5889" width="3.28515625" style="7" customWidth="1"/>
    <col min="5890" max="5890" width="17.42578125" style="7" customWidth="1"/>
    <col min="5891" max="5891" width="19.28515625" style="7" customWidth="1"/>
    <col min="5892" max="5892" width="21.85546875" style="7" customWidth="1"/>
    <col min="5893" max="5893" width="57.85546875" style="7" customWidth="1"/>
    <col min="5894" max="5894" width="66.28515625" style="7" customWidth="1"/>
    <col min="5895" max="5895" width="36.7109375" style="7" customWidth="1"/>
    <col min="5896" max="5896" width="18.140625" style="7" customWidth="1"/>
    <col min="5897" max="5897" width="19.5703125" style="7" customWidth="1"/>
    <col min="5898" max="5898" width="16.5703125" style="7" customWidth="1"/>
    <col min="5899" max="5899" width="21.140625" style="7" customWidth="1"/>
    <col min="5900" max="5900" width="1.42578125" style="7" customWidth="1"/>
    <col min="5901" max="5901" width="19.140625" style="7" customWidth="1"/>
    <col min="5902" max="5902" width="7" style="7" customWidth="1"/>
    <col min="5903" max="5903" width="7.85546875" style="7" customWidth="1"/>
    <col min="5904" max="6144" width="9.140625" style="7"/>
    <col min="6145" max="6145" width="3.28515625" style="7" customWidth="1"/>
    <col min="6146" max="6146" width="17.42578125" style="7" customWidth="1"/>
    <col min="6147" max="6147" width="19.28515625" style="7" customWidth="1"/>
    <col min="6148" max="6148" width="21.85546875" style="7" customWidth="1"/>
    <col min="6149" max="6149" width="57.85546875" style="7" customWidth="1"/>
    <col min="6150" max="6150" width="66.28515625" style="7" customWidth="1"/>
    <col min="6151" max="6151" width="36.7109375" style="7" customWidth="1"/>
    <col min="6152" max="6152" width="18.140625" style="7" customWidth="1"/>
    <col min="6153" max="6153" width="19.5703125" style="7" customWidth="1"/>
    <col min="6154" max="6154" width="16.5703125" style="7" customWidth="1"/>
    <col min="6155" max="6155" width="21.140625" style="7" customWidth="1"/>
    <col min="6156" max="6156" width="1.42578125" style="7" customWidth="1"/>
    <col min="6157" max="6157" width="19.140625" style="7" customWidth="1"/>
    <col min="6158" max="6158" width="7" style="7" customWidth="1"/>
    <col min="6159" max="6159" width="7.85546875" style="7" customWidth="1"/>
    <col min="6160" max="6400" width="9.140625" style="7"/>
    <col min="6401" max="6401" width="3.28515625" style="7" customWidth="1"/>
    <col min="6402" max="6402" width="17.42578125" style="7" customWidth="1"/>
    <col min="6403" max="6403" width="19.28515625" style="7" customWidth="1"/>
    <col min="6404" max="6404" width="21.85546875" style="7" customWidth="1"/>
    <col min="6405" max="6405" width="57.85546875" style="7" customWidth="1"/>
    <col min="6406" max="6406" width="66.28515625" style="7" customWidth="1"/>
    <col min="6407" max="6407" width="36.7109375" style="7" customWidth="1"/>
    <col min="6408" max="6408" width="18.140625" style="7" customWidth="1"/>
    <col min="6409" max="6409" width="19.5703125" style="7" customWidth="1"/>
    <col min="6410" max="6410" width="16.5703125" style="7" customWidth="1"/>
    <col min="6411" max="6411" width="21.140625" style="7" customWidth="1"/>
    <col min="6412" max="6412" width="1.42578125" style="7" customWidth="1"/>
    <col min="6413" max="6413" width="19.140625" style="7" customWidth="1"/>
    <col min="6414" max="6414" width="7" style="7" customWidth="1"/>
    <col min="6415" max="6415" width="7.85546875" style="7" customWidth="1"/>
    <col min="6416" max="6656" width="9.140625" style="7"/>
    <col min="6657" max="6657" width="3.28515625" style="7" customWidth="1"/>
    <col min="6658" max="6658" width="17.42578125" style="7" customWidth="1"/>
    <col min="6659" max="6659" width="19.28515625" style="7" customWidth="1"/>
    <col min="6660" max="6660" width="21.85546875" style="7" customWidth="1"/>
    <col min="6661" max="6661" width="57.85546875" style="7" customWidth="1"/>
    <col min="6662" max="6662" width="66.28515625" style="7" customWidth="1"/>
    <col min="6663" max="6663" width="36.7109375" style="7" customWidth="1"/>
    <col min="6664" max="6664" width="18.140625" style="7" customWidth="1"/>
    <col min="6665" max="6665" width="19.5703125" style="7" customWidth="1"/>
    <col min="6666" max="6666" width="16.5703125" style="7" customWidth="1"/>
    <col min="6667" max="6667" width="21.140625" style="7" customWidth="1"/>
    <col min="6668" max="6668" width="1.42578125" style="7" customWidth="1"/>
    <col min="6669" max="6669" width="19.140625" style="7" customWidth="1"/>
    <col min="6670" max="6670" width="7" style="7" customWidth="1"/>
    <col min="6671" max="6671" width="7.85546875" style="7" customWidth="1"/>
    <col min="6672" max="6912" width="9.140625" style="7"/>
    <col min="6913" max="6913" width="3.28515625" style="7" customWidth="1"/>
    <col min="6914" max="6914" width="17.42578125" style="7" customWidth="1"/>
    <col min="6915" max="6915" width="19.28515625" style="7" customWidth="1"/>
    <col min="6916" max="6916" width="21.85546875" style="7" customWidth="1"/>
    <col min="6917" max="6917" width="57.85546875" style="7" customWidth="1"/>
    <col min="6918" max="6918" width="66.28515625" style="7" customWidth="1"/>
    <col min="6919" max="6919" width="36.7109375" style="7" customWidth="1"/>
    <col min="6920" max="6920" width="18.140625" style="7" customWidth="1"/>
    <col min="6921" max="6921" width="19.5703125" style="7" customWidth="1"/>
    <col min="6922" max="6922" width="16.5703125" style="7" customWidth="1"/>
    <col min="6923" max="6923" width="21.140625" style="7" customWidth="1"/>
    <col min="6924" max="6924" width="1.42578125" style="7" customWidth="1"/>
    <col min="6925" max="6925" width="19.140625" style="7" customWidth="1"/>
    <col min="6926" max="6926" width="7" style="7" customWidth="1"/>
    <col min="6927" max="6927" width="7.85546875" style="7" customWidth="1"/>
    <col min="6928" max="7168" width="9.140625" style="7"/>
    <col min="7169" max="7169" width="3.28515625" style="7" customWidth="1"/>
    <col min="7170" max="7170" width="17.42578125" style="7" customWidth="1"/>
    <col min="7171" max="7171" width="19.28515625" style="7" customWidth="1"/>
    <col min="7172" max="7172" width="21.85546875" style="7" customWidth="1"/>
    <col min="7173" max="7173" width="57.85546875" style="7" customWidth="1"/>
    <col min="7174" max="7174" width="66.28515625" style="7" customWidth="1"/>
    <col min="7175" max="7175" width="36.7109375" style="7" customWidth="1"/>
    <col min="7176" max="7176" width="18.140625" style="7" customWidth="1"/>
    <col min="7177" max="7177" width="19.5703125" style="7" customWidth="1"/>
    <col min="7178" max="7178" width="16.5703125" style="7" customWidth="1"/>
    <col min="7179" max="7179" width="21.140625" style="7" customWidth="1"/>
    <col min="7180" max="7180" width="1.42578125" style="7" customWidth="1"/>
    <col min="7181" max="7181" width="19.140625" style="7" customWidth="1"/>
    <col min="7182" max="7182" width="7" style="7" customWidth="1"/>
    <col min="7183" max="7183" width="7.85546875" style="7" customWidth="1"/>
    <col min="7184" max="7424" width="9.140625" style="7"/>
    <col min="7425" max="7425" width="3.28515625" style="7" customWidth="1"/>
    <col min="7426" max="7426" width="17.42578125" style="7" customWidth="1"/>
    <col min="7427" max="7427" width="19.28515625" style="7" customWidth="1"/>
    <col min="7428" max="7428" width="21.85546875" style="7" customWidth="1"/>
    <col min="7429" max="7429" width="57.85546875" style="7" customWidth="1"/>
    <col min="7430" max="7430" width="66.28515625" style="7" customWidth="1"/>
    <col min="7431" max="7431" width="36.7109375" style="7" customWidth="1"/>
    <col min="7432" max="7432" width="18.140625" style="7" customWidth="1"/>
    <col min="7433" max="7433" width="19.5703125" style="7" customWidth="1"/>
    <col min="7434" max="7434" width="16.5703125" style="7" customWidth="1"/>
    <col min="7435" max="7435" width="21.140625" style="7" customWidth="1"/>
    <col min="7436" max="7436" width="1.42578125" style="7" customWidth="1"/>
    <col min="7437" max="7437" width="19.140625" style="7" customWidth="1"/>
    <col min="7438" max="7438" width="7" style="7" customWidth="1"/>
    <col min="7439" max="7439" width="7.85546875" style="7" customWidth="1"/>
    <col min="7440" max="7680" width="9.140625" style="7"/>
    <col min="7681" max="7681" width="3.28515625" style="7" customWidth="1"/>
    <col min="7682" max="7682" width="17.42578125" style="7" customWidth="1"/>
    <col min="7683" max="7683" width="19.28515625" style="7" customWidth="1"/>
    <col min="7684" max="7684" width="21.85546875" style="7" customWidth="1"/>
    <col min="7685" max="7685" width="57.85546875" style="7" customWidth="1"/>
    <col min="7686" max="7686" width="66.28515625" style="7" customWidth="1"/>
    <col min="7687" max="7687" width="36.7109375" style="7" customWidth="1"/>
    <col min="7688" max="7688" width="18.140625" style="7" customWidth="1"/>
    <col min="7689" max="7689" width="19.5703125" style="7" customWidth="1"/>
    <col min="7690" max="7690" width="16.5703125" style="7" customWidth="1"/>
    <col min="7691" max="7691" width="21.140625" style="7" customWidth="1"/>
    <col min="7692" max="7692" width="1.42578125" style="7" customWidth="1"/>
    <col min="7693" max="7693" width="19.140625" style="7" customWidth="1"/>
    <col min="7694" max="7694" width="7" style="7" customWidth="1"/>
    <col min="7695" max="7695" width="7.85546875" style="7" customWidth="1"/>
    <col min="7696" max="7936" width="9.140625" style="7"/>
    <col min="7937" max="7937" width="3.28515625" style="7" customWidth="1"/>
    <col min="7938" max="7938" width="17.42578125" style="7" customWidth="1"/>
    <col min="7939" max="7939" width="19.28515625" style="7" customWidth="1"/>
    <col min="7940" max="7940" width="21.85546875" style="7" customWidth="1"/>
    <col min="7941" max="7941" width="57.85546875" style="7" customWidth="1"/>
    <col min="7942" max="7942" width="66.28515625" style="7" customWidth="1"/>
    <col min="7943" max="7943" width="36.7109375" style="7" customWidth="1"/>
    <col min="7944" max="7944" width="18.140625" style="7" customWidth="1"/>
    <col min="7945" max="7945" width="19.5703125" style="7" customWidth="1"/>
    <col min="7946" max="7946" width="16.5703125" style="7" customWidth="1"/>
    <col min="7947" max="7947" width="21.140625" style="7" customWidth="1"/>
    <col min="7948" max="7948" width="1.42578125" style="7" customWidth="1"/>
    <col min="7949" max="7949" width="19.140625" style="7" customWidth="1"/>
    <col min="7950" max="7950" width="7" style="7" customWidth="1"/>
    <col min="7951" max="7951" width="7.85546875" style="7" customWidth="1"/>
    <col min="7952" max="8192" width="9.140625" style="7"/>
    <col min="8193" max="8193" width="3.28515625" style="7" customWidth="1"/>
    <col min="8194" max="8194" width="17.42578125" style="7" customWidth="1"/>
    <col min="8195" max="8195" width="19.28515625" style="7" customWidth="1"/>
    <col min="8196" max="8196" width="21.85546875" style="7" customWidth="1"/>
    <col min="8197" max="8197" width="57.85546875" style="7" customWidth="1"/>
    <col min="8198" max="8198" width="66.28515625" style="7" customWidth="1"/>
    <col min="8199" max="8199" width="36.7109375" style="7" customWidth="1"/>
    <col min="8200" max="8200" width="18.140625" style="7" customWidth="1"/>
    <col min="8201" max="8201" width="19.5703125" style="7" customWidth="1"/>
    <col min="8202" max="8202" width="16.5703125" style="7" customWidth="1"/>
    <col min="8203" max="8203" width="21.140625" style="7" customWidth="1"/>
    <col min="8204" max="8204" width="1.42578125" style="7" customWidth="1"/>
    <col min="8205" max="8205" width="19.140625" style="7" customWidth="1"/>
    <col min="8206" max="8206" width="7" style="7" customWidth="1"/>
    <col min="8207" max="8207" width="7.85546875" style="7" customWidth="1"/>
    <col min="8208" max="8448" width="9.140625" style="7"/>
    <col min="8449" max="8449" width="3.28515625" style="7" customWidth="1"/>
    <col min="8450" max="8450" width="17.42578125" style="7" customWidth="1"/>
    <col min="8451" max="8451" width="19.28515625" style="7" customWidth="1"/>
    <col min="8452" max="8452" width="21.85546875" style="7" customWidth="1"/>
    <col min="8453" max="8453" width="57.85546875" style="7" customWidth="1"/>
    <col min="8454" max="8454" width="66.28515625" style="7" customWidth="1"/>
    <col min="8455" max="8455" width="36.7109375" style="7" customWidth="1"/>
    <col min="8456" max="8456" width="18.140625" style="7" customWidth="1"/>
    <col min="8457" max="8457" width="19.5703125" style="7" customWidth="1"/>
    <col min="8458" max="8458" width="16.5703125" style="7" customWidth="1"/>
    <col min="8459" max="8459" width="21.140625" style="7" customWidth="1"/>
    <col min="8460" max="8460" width="1.42578125" style="7" customWidth="1"/>
    <col min="8461" max="8461" width="19.140625" style="7" customWidth="1"/>
    <col min="8462" max="8462" width="7" style="7" customWidth="1"/>
    <col min="8463" max="8463" width="7.85546875" style="7" customWidth="1"/>
    <col min="8464" max="8704" width="9.140625" style="7"/>
    <col min="8705" max="8705" width="3.28515625" style="7" customWidth="1"/>
    <col min="8706" max="8706" width="17.42578125" style="7" customWidth="1"/>
    <col min="8707" max="8707" width="19.28515625" style="7" customWidth="1"/>
    <col min="8708" max="8708" width="21.85546875" style="7" customWidth="1"/>
    <col min="8709" max="8709" width="57.85546875" style="7" customWidth="1"/>
    <col min="8710" max="8710" width="66.28515625" style="7" customWidth="1"/>
    <col min="8711" max="8711" width="36.7109375" style="7" customWidth="1"/>
    <col min="8712" max="8712" width="18.140625" style="7" customWidth="1"/>
    <col min="8713" max="8713" width="19.5703125" style="7" customWidth="1"/>
    <col min="8714" max="8714" width="16.5703125" style="7" customWidth="1"/>
    <col min="8715" max="8715" width="21.140625" style="7" customWidth="1"/>
    <col min="8716" max="8716" width="1.42578125" style="7" customWidth="1"/>
    <col min="8717" max="8717" width="19.140625" style="7" customWidth="1"/>
    <col min="8718" max="8718" width="7" style="7" customWidth="1"/>
    <col min="8719" max="8719" width="7.85546875" style="7" customWidth="1"/>
    <col min="8720" max="8960" width="9.140625" style="7"/>
    <col min="8961" max="8961" width="3.28515625" style="7" customWidth="1"/>
    <col min="8962" max="8962" width="17.42578125" style="7" customWidth="1"/>
    <col min="8963" max="8963" width="19.28515625" style="7" customWidth="1"/>
    <col min="8964" max="8964" width="21.85546875" style="7" customWidth="1"/>
    <col min="8965" max="8965" width="57.85546875" style="7" customWidth="1"/>
    <col min="8966" max="8966" width="66.28515625" style="7" customWidth="1"/>
    <col min="8967" max="8967" width="36.7109375" style="7" customWidth="1"/>
    <col min="8968" max="8968" width="18.140625" style="7" customWidth="1"/>
    <col min="8969" max="8969" width="19.5703125" style="7" customWidth="1"/>
    <col min="8970" max="8970" width="16.5703125" style="7" customWidth="1"/>
    <col min="8971" max="8971" width="21.140625" style="7" customWidth="1"/>
    <col min="8972" max="8972" width="1.42578125" style="7" customWidth="1"/>
    <col min="8973" max="8973" width="19.140625" style="7" customWidth="1"/>
    <col min="8974" max="8974" width="7" style="7" customWidth="1"/>
    <col min="8975" max="8975" width="7.85546875" style="7" customWidth="1"/>
    <col min="8976" max="9216" width="9.140625" style="7"/>
    <col min="9217" max="9217" width="3.28515625" style="7" customWidth="1"/>
    <col min="9218" max="9218" width="17.42578125" style="7" customWidth="1"/>
    <col min="9219" max="9219" width="19.28515625" style="7" customWidth="1"/>
    <col min="9220" max="9220" width="21.85546875" style="7" customWidth="1"/>
    <col min="9221" max="9221" width="57.85546875" style="7" customWidth="1"/>
    <col min="9222" max="9222" width="66.28515625" style="7" customWidth="1"/>
    <col min="9223" max="9223" width="36.7109375" style="7" customWidth="1"/>
    <col min="9224" max="9224" width="18.140625" style="7" customWidth="1"/>
    <col min="9225" max="9225" width="19.5703125" style="7" customWidth="1"/>
    <col min="9226" max="9226" width="16.5703125" style="7" customWidth="1"/>
    <col min="9227" max="9227" width="21.140625" style="7" customWidth="1"/>
    <col min="9228" max="9228" width="1.42578125" style="7" customWidth="1"/>
    <col min="9229" max="9229" width="19.140625" style="7" customWidth="1"/>
    <col min="9230" max="9230" width="7" style="7" customWidth="1"/>
    <col min="9231" max="9231" width="7.85546875" style="7" customWidth="1"/>
    <col min="9232" max="9472" width="9.140625" style="7"/>
    <col min="9473" max="9473" width="3.28515625" style="7" customWidth="1"/>
    <col min="9474" max="9474" width="17.42578125" style="7" customWidth="1"/>
    <col min="9475" max="9475" width="19.28515625" style="7" customWidth="1"/>
    <col min="9476" max="9476" width="21.85546875" style="7" customWidth="1"/>
    <col min="9477" max="9477" width="57.85546875" style="7" customWidth="1"/>
    <col min="9478" max="9478" width="66.28515625" style="7" customWidth="1"/>
    <col min="9479" max="9479" width="36.7109375" style="7" customWidth="1"/>
    <col min="9480" max="9480" width="18.140625" style="7" customWidth="1"/>
    <col min="9481" max="9481" width="19.5703125" style="7" customWidth="1"/>
    <col min="9482" max="9482" width="16.5703125" style="7" customWidth="1"/>
    <col min="9483" max="9483" width="21.140625" style="7" customWidth="1"/>
    <col min="9484" max="9484" width="1.42578125" style="7" customWidth="1"/>
    <col min="9485" max="9485" width="19.140625" style="7" customWidth="1"/>
    <col min="9486" max="9486" width="7" style="7" customWidth="1"/>
    <col min="9487" max="9487" width="7.85546875" style="7" customWidth="1"/>
    <col min="9488" max="9728" width="9.140625" style="7"/>
    <col min="9729" max="9729" width="3.28515625" style="7" customWidth="1"/>
    <col min="9730" max="9730" width="17.42578125" style="7" customWidth="1"/>
    <col min="9731" max="9731" width="19.28515625" style="7" customWidth="1"/>
    <col min="9732" max="9732" width="21.85546875" style="7" customWidth="1"/>
    <col min="9733" max="9733" width="57.85546875" style="7" customWidth="1"/>
    <col min="9734" max="9734" width="66.28515625" style="7" customWidth="1"/>
    <col min="9735" max="9735" width="36.7109375" style="7" customWidth="1"/>
    <col min="9736" max="9736" width="18.140625" style="7" customWidth="1"/>
    <col min="9737" max="9737" width="19.5703125" style="7" customWidth="1"/>
    <col min="9738" max="9738" width="16.5703125" style="7" customWidth="1"/>
    <col min="9739" max="9739" width="21.140625" style="7" customWidth="1"/>
    <col min="9740" max="9740" width="1.42578125" style="7" customWidth="1"/>
    <col min="9741" max="9741" width="19.140625" style="7" customWidth="1"/>
    <col min="9742" max="9742" width="7" style="7" customWidth="1"/>
    <col min="9743" max="9743" width="7.85546875" style="7" customWidth="1"/>
    <col min="9744" max="9984" width="9.140625" style="7"/>
    <col min="9985" max="9985" width="3.28515625" style="7" customWidth="1"/>
    <col min="9986" max="9986" width="17.42578125" style="7" customWidth="1"/>
    <col min="9987" max="9987" width="19.28515625" style="7" customWidth="1"/>
    <col min="9988" max="9988" width="21.85546875" style="7" customWidth="1"/>
    <col min="9989" max="9989" width="57.85546875" style="7" customWidth="1"/>
    <col min="9990" max="9990" width="66.28515625" style="7" customWidth="1"/>
    <col min="9991" max="9991" width="36.7109375" style="7" customWidth="1"/>
    <col min="9992" max="9992" width="18.140625" style="7" customWidth="1"/>
    <col min="9993" max="9993" width="19.5703125" style="7" customWidth="1"/>
    <col min="9994" max="9994" width="16.5703125" style="7" customWidth="1"/>
    <col min="9995" max="9995" width="21.140625" style="7" customWidth="1"/>
    <col min="9996" max="9996" width="1.42578125" style="7" customWidth="1"/>
    <col min="9997" max="9997" width="19.140625" style="7" customWidth="1"/>
    <col min="9998" max="9998" width="7" style="7" customWidth="1"/>
    <col min="9999" max="9999" width="7.85546875" style="7" customWidth="1"/>
    <col min="10000" max="10240" width="9.140625" style="7"/>
    <col min="10241" max="10241" width="3.28515625" style="7" customWidth="1"/>
    <col min="10242" max="10242" width="17.42578125" style="7" customWidth="1"/>
    <col min="10243" max="10243" width="19.28515625" style="7" customWidth="1"/>
    <col min="10244" max="10244" width="21.85546875" style="7" customWidth="1"/>
    <col min="10245" max="10245" width="57.85546875" style="7" customWidth="1"/>
    <col min="10246" max="10246" width="66.28515625" style="7" customWidth="1"/>
    <col min="10247" max="10247" width="36.7109375" style="7" customWidth="1"/>
    <col min="10248" max="10248" width="18.140625" style="7" customWidth="1"/>
    <col min="10249" max="10249" width="19.5703125" style="7" customWidth="1"/>
    <col min="10250" max="10250" width="16.5703125" style="7" customWidth="1"/>
    <col min="10251" max="10251" width="21.140625" style="7" customWidth="1"/>
    <col min="10252" max="10252" width="1.42578125" style="7" customWidth="1"/>
    <col min="10253" max="10253" width="19.140625" style="7" customWidth="1"/>
    <col min="10254" max="10254" width="7" style="7" customWidth="1"/>
    <col min="10255" max="10255" width="7.85546875" style="7" customWidth="1"/>
    <col min="10256" max="10496" width="9.140625" style="7"/>
    <col min="10497" max="10497" width="3.28515625" style="7" customWidth="1"/>
    <col min="10498" max="10498" width="17.42578125" style="7" customWidth="1"/>
    <col min="10499" max="10499" width="19.28515625" style="7" customWidth="1"/>
    <col min="10500" max="10500" width="21.85546875" style="7" customWidth="1"/>
    <col min="10501" max="10501" width="57.85546875" style="7" customWidth="1"/>
    <col min="10502" max="10502" width="66.28515625" style="7" customWidth="1"/>
    <col min="10503" max="10503" width="36.7109375" style="7" customWidth="1"/>
    <col min="10504" max="10504" width="18.140625" style="7" customWidth="1"/>
    <col min="10505" max="10505" width="19.5703125" style="7" customWidth="1"/>
    <col min="10506" max="10506" width="16.5703125" style="7" customWidth="1"/>
    <col min="10507" max="10507" width="21.140625" style="7" customWidth="1"/>
    <col min="10508" max="10508" width="1.42578125" style="7" customWidth="1"/>
    <col min="10509" max="10509" width="19.140625" style="7" customWidth="1"/>
    <col min="10510" max="10510" width="7" style="7" customWidth="1"/>
    <col min="10511" max="10511" width="7.85546875" style="7" customWidth="1"/>
    <col min="10512" max="10752" width="9.140625" style="7"/>
    <col min="10753" max="10753" width="3.28515625" style="7" customWidth="1"/>
    <col min="10754" max="10754" width="17.42578125" style="7" customWidth="1"/>
    <col min="10755" max="10755" width="19.28515625" style="7" customWidth="1"/>
    <col min="10756" max="10756" width="21.85546875" style="7" customWidth="1"/>
    <col min="10757" max="10757" width="57.85546875" style="7" customWidth="1"/>
    <col min="10758" max="10758" width="66.28515625" style="7" customWidth="1"/>
    <col min="10759" max="10759" width="36.7109375" style="7" customWidth="1"/>
    <col min="10760" max="10760" width="18.140625" style="7" customWidth="1"/>
    <col min="10761" max="10761" width="19.5703125" style="7" customWidth="1"/>
    <col min="10762" max="10762" width="16.5703125" style="7" customWidth="1"/>
    <col min="10763" max="10763" width="21.140625" style="7" customWidth="1"/>
    <col min="10764" max="10764" width="1.42578125" style="7" customWidth="1"/>
    <col min="10765" max="10765" width="19.140625" style="7" customWidth="1"/>
    <col min="10766" max="10766" width="7" style="7" customWidth="1"/>
    <col min="10767" max="10767" width="7.85546875" style="7" customWidth="1"/>
    <col min="10768" max="11008" width="9.140625" style="7"/>
    <col min="11009" max="11009" width="3.28515625" style="7" customWidth="1"/>
    <col min="11010" max="11010" width="17.42578125" style="7" customWidth="1"/>
    <col min="11011" max="11011" width="19.28515625" style="7" customWidth="1"/>
    <col min="11012" max="11012" width="21.85546875" style="7" customWidth="1"/>
    <col min="11013" max="11013" width="57.85546875" style="7" customWidth="1"/>
    <col min="11014" max="11014" width="66.28515625" style="7" customWidth="1"/>
    <col min="11015" max="11015" width="36.7109375" style="7" customWidth="1"/>
    <col min="11016" max="11016" width="18.140625" style="7" customWidth="1"/>
    <col min="11017" max="11017" width="19.5703125" style="7" customWidth="1"/>
    <col min="11018" max="11018" width="16.5703125" style="7" customWidth="1"/>
    <col min="11019" max="11019" width="21.140625" style="7" customWidth="1"/>
    <col min="11020" max="11020" width="1.42578125" style="7" customWidth="1"/>
    <col min="11021" max="11021" width="19.140625" style="7" customWidth="1"/>
    <col min="11022" max="11022" width="7" style="7" customWidth="1"/>
    <col min="11023" max="11023" width="7.85546875" style="7" customWidth="1"/>
    <col min="11024" max="11264" width="9.140625" style="7"/>
    <col min="11265" max="11265" width="3.28515625" style="7" customWidth="1"/>
    <col min="11266" max="11266" width="17.42578125" style="7" customWidth="1"/>
    <col min="11267" max="11267" width="19.28515625" style="7" customWidth="1"/>
    <col min="11268" max="11268" width="21.85546875" style="7" customWidth="1"/>
    <col min="11269" max="11269" width="57.85546875" style="7" customWidth="1"/>
    <col min="11270" max="11270" width="66.28515625" style="7" customWidth="1"/>
    <col min="11271" max="11271" width="36.7109375" style="7" customWidth="1"/>
    <col min="11272" max="11272" width="18.140625" style="7" customWidth="1"/>
    <col min="11273" max="11273" width="19.5703125" style="7" customWidth="1"/>
    <col min="11274" max="11274" width="16.5703125" style="7" customWidth="1"/>
    <col min="11275" max="11275" width="21.140625" style="7" customWidth="1"/>
    <col min="11276" max="11276" width="1.42578125" style="7" customWidth="1"/>
    <col min="11277" max="11277" width="19.140625" style="7" customWidth="1"/>
    <col min="11278" max="11278" width="7" style="7" customWidth="1"/>
    <col min="11279" max="11279" width="7.85546875" style="7" customWidth="1"/>
    <col min="11280" max="11520" width="9.140625" style="7"/>
    <col min="11521" max="11521" width="3.28515625" style="7" customWidth="1"/>
    <col min="11522" max="11522" width="17.42578125" style="7" customWidth="1"/>
    <col min="11523" max="11523" width="19.28515625" style="7" customWidth="1"/>
    <col min="11524" max="11524" width="21.85546875" style="7" customWidth="1"/>
    <col min="11525" max="11525" width="57.85546875" style="7" customWidth="1"/>
    <col min="11526" max="11526" width="66.28515625" style="7" customWidth="1"/>
    <col min="11527" max="11527" width="36.7109375" style="7" customWidth="1"/>
    <col min="11528" max="11528" width="18.140625" style="7" customWidth="1"/>
    <col min="11529" max="11529" width="19.5703125" style="7" customWidth="1"/>
    <col min="11530" max="11530" width="16.5703125" style="7" customWidth="1"/>
    <col min="11531" max="11531" width="21.140625" style="7" customWidth="1"/>
    <col min="11532" max="11532" width="1.42578125" style="7" customWidth="1"/>
    <col min="11533" max="11533" width="19.140625" style="7" customWidth="1"/>
    <col min="11534" max="11534" width="7" style="7" customWidth="1"/>
    <col min="11535" max="11535" width="7.85546875" style="7" customWidth="1"/>
    <col min="11536" max="11776" width="9.140625" style="7"/>
    <col min="11777" max="11777" width="3.28515625" style="7" customWidth="1"/>
    <col min="11778" max="11778" width="17.42578125" style="7" customWidth="1"/>
    <col min="11779" max="11779" width="19.28515625" style="7" customWidth="1"/>
    <col min="11780" max="11780" width="21.85546875" style="7" customWidth="1"/>
    <col min="11781" max="11781" width="57.85546875" style="7" customWidth="1"/>
    <col min="11782" max="11782" width="66.28515625" style="7" customWidth="1"/>
    <col min="11783" max="11783" width="36.7109375" style="7" customWidth="1"/>
    <col min="11784" max="11784" width="18.140625" style="7" customWidth="1"/>
    <col min="11785" max="11785" width="19.5703125" style="7" customWidth="1"/>
    <col min="11786" max="11786" width="16.5703125" style="7" customWidth="1"/>
    <col min="11787" max="11787" width="21.140625" style="7" customWidth="1"/>
    <col min="11788" max="11788" width="1.42578125" style="7" customWidth="1"/>
    <col min="11789" max="11789" width="19.140625" style="7" customWidth="1"/>
    <col min="11790" max="11790" width="7" style="7" customWidth="1"/>
    <col min="11791" max="11791" width="7.85546875" style="7" customWidth="1"/>
    <col min="11792" max="12032" width="9.140625" style="7"/>
    <col min="12033" max="12033" width="3.28515625" style="7" customWidth="1"/>
    <col min="12034" max="12034" width="17.42578125" style="7" customWidth="1"/>
    <col min="12035" max="12035" width="19.28515625" style="7" customWidth="1"/>
    <col min="12036" max="12036" width="21.85546875" style="7" customWidth="1"/>
    <col min="12037" max="12037" width="57.85546875" style="7" customWidth="1"/>
    <col min="12038" max="12038" width="66.28515625" style="7" customWidth="1"/>
    <col min="12039" max="12039" width="36.7109375" style="7" customWidth="1"/>
    <col min="12040" max="12040" width="18.140625" style="7" customWidth="1"/>
    <col min="12041" max="12041" width="19.5703125" style="7" customWidth="1"/>
    <col min="12042" max="12042" width="16.5703125" style="7" customWidth="1"/>
    <col min="12043" max="12043" width="21.140625" style="7" customWidth="1"/>
    <col min="12044" max="12044" width="1.42578125" style="7" customWidth="1"/>
    <col min="12045" max="12045" width="19.140625" style="7" customWidth="1"/>
    <col min="12046" max="12046" width="7" style="7" customWidth="1"/>
    <col min="12047" max="12047" width="7.85546875" style="7" customWidth="1"/>
    <col min="12048" max="12288" width="9.140625" style="7"/>
    <col min="12289" max="12289" width="3.28515625" style="7" customWidth="1"/>
    <col min="12290" max="12290" width="17.42578125" style="7" customWidth="1"/>
    <col min="12291" max="12291" width="19.28515625" style="7" customWidth="1"/>
    <col min="12292" max="12292" width="21.85546875" style="7" customWidth="1"/>
    <col min="12293" max="12293" width="57.85546875" style="7" customWidth="1"/>
    <col min="12294" max="12294" width="66.28515625" style="7" customWidth="1"/>
    <col min="12295" max="12295" width="36.7109375" style="7" customWidth="1"/>
    <col min="12296" max="12296" width="18.140625" style="7" customWidth="1"/>
    <col min="12297" max="12297" width="19.5703125" style="7" customWidth="1"/>
    <col min="12298" max="12298" width="16.5703125" style="7" customWidth="1"/>
    <col min="12299" max="12299" width="21.140625" style="7" customWidth="1"/>
    <col min="12300" max="12300" width="1.42578125" style="7" customWidth="1"/>
    <col min="12301" max="12301" width="19.140625" style="7" customWidth="1"/>
    <col min="12302" max="12302" width="7" style="7" customWidth="1"/>
    <col min="12303" max="12303" width="7.85546875" style="7" customWidth="1"/>
    <col min="12304" max="12544" width="9.140625" style="7"/>
    <col min="12545" max="12545" width="3.28515625" style="7" customWidth="1"/>
    <col min="12546" max="12546" width="17.42578125" style="7" customWidth="1"/>
    <col min="12547" max="12547" width="19.28515625" style="7" customWidth="1"/>
    <col min="12548" max="12548" width="21.85546875" style="7" customWidth="1"/>
    <col min="12549" max="12549" width="57.85546875" style="7" customWidth="1"/>
    <col min="12550" max="12550" width="66.28515625" style="7" customWidth="1"/>
    <col min="12551" max="12551" width="36.7109375" style="7" customWidth="1"/>
    <col min="12552" max="12552" width="18.140625" style="7" customWidth="1"/>
    <col min="12553" max="12553" width="19.5703125" style="7" customWidth="1"/>
    <col min="12554" max="12554" width="16.5703125" style="7" customWidth="1"/>
    <col min="12555" max="12555" width="21.140625" style="7" customWidth="1"/>
    <col min="12556" max="12556" width="1.42578125" style="7" customWidth="1"/>
    <col min="12557" max="12557" width="19.140625" style="7" customWidth="1"/>
    <col min="12558" max="12558" width="7" style="7" customWidth="1"/>
    <col min="12559" max="12559" width="7.85546875" style="7" customWidth="1"/>
    <col min="12560" max="12800" width="9.140625" style="7"/>
    <col min="12801" max="12801" width="3.28515625" style="7" customWidth="1"/>
    <col min="12802" max="12802" width="17.42578125" style="7" customWidth="1"/>
    <col min="12803" max="12803" width="19.28515625" style="7" customWidth="1"/>
    <col min="12804" max="12804" width="21.85546875" style="7" customWidth="1"/>
    <col min="12805" max="12805" width="57.85546875" style="7" customWidth="1"/>
    <col min="12806" max="12806" width="66.28515625" style="7" customWidth="1"/>
    <col min="12807" max="12807" width="36.7109375" style="7" customWidth="1"/>
    <col min="12808" max="12808" width="18.140625" style="7" customWidth="1"/>
    <col min="12809" max="12809" width="19.5703125" style="7" customWidth="1"/>
    <col min="12810" max="12810" width="16.5703125" style="7" customWidth="1"/>
    <col min="12811" max="12811" width="21.140625" style="7" customWidth="1"/>
    <col min="12812" max="12812" width="1.42578125" style="7" customWidth="1"/>
    <col min="12813" max="12813" width="19.140625" style="7" customWidth="1"/>
    <col min="12814" max="12814" width="7" style="7" customWidth="1"/>
    <col min="12815" max="12815" width="7.85546875" style="7" customWidth="1"/>
    <col min="12816" max="13056" width="9.140625" style="7"/>
    <col min="13057" max="13057" width="3.28515625" style="7" customWidth="1"/>
    <col min="13058" max="13058" width="17.42578125" style="7" customWidth="1"/>
    <col min="13059" max="13059" width="19.28515625" style="7" customWidth="1"/>
    <col min="13060" max="13060" width="21.85546875" style="7" customWidth="1"/>
    <col min="13061" max="13061" width="57.85546875" style="7" customWidth="1"/>
    <col min="13062" max="13062" width="66.28515625" style="7" customWidth="1"/>
    <col min="13063" max="13063" width="36.7109375" style="7" customWidth="1"/>
    <col min="13064" max="13064" width="18.140625" style="7" customWidth="1"/>
    <col min="13065" max="13065" width="19.5703125" style="7" customWidth="1"/>
    <col min="13066" max="13066" width="16.5703125" style="7" customWidth="1"/>
    <col min="13067" max="13067" width="21.140625" style="7" customWidth="1"/>
    <col min="13068" max="13068" width="1.42578125" style="7" customWidth="1"/>
    <col min="13069" max="13069" width="19.140625" style="7" customWidth="1"/>
    <col min="13070" max="13070" width="7" style="7" customWidth="1"/>
    <col min="13071" max="13071" width="7.85546875" style="7" customWidth="1"/>
    <col min="13072" max="13312" width="9.140625" style="7"/>
    <col min="13313" max="13313" width="3.28515625" style="7" customWidth="1"/>
    <col min="13314" max="13314" width="17.42578125" style="7" customWidth="1"/>
    <col min="13315" max="13315" width="19.28515625" style="7" customWidth="1"/>
    <col min="13316" max="13316" width="21.85546875" style="7" customWidth="1"/>
    <col min="13317" max="13317" width="57.85546875" style="7" customWidth="1"/>
    <col min="13318" max="13318" width="66.28515625" style="7" customWidth="1"/>
    <col min="13319" max="13319" width="36.7109375" style="7" customWidth="1"/>
    <col min="13320" max="13320" width="18.140625" style="7" customWidth="1"/>
    <col min="13321" max="13321" width="19.5703125" style="7" customWidth="1"/>
    <col min="13322" max="13322" width="16.5703125" style="7" customWidth="1"/>
    <col min="13323" max="13323" width="21.140625" style="7" customWidth="1"/>
    <col min="13324" max="13324" width="1.42578125" style="7" customWidth="1"/>
    <col min="13325" max="13325" width="19.140625" style="7" customWidth="1"/>
    <col min="13326" max="13326" width="7" style="7" customWidth="1"/>
    <col min="13327" max="13327" width="7.85546875" style="7" customWidth="1"/>
    <col min="13328" max="13568" width="9.140625" style="7"/>
    <col min="13569" max="13569" width="3.28515625" style="7" customWidth="1"/>
    <col min="13570" max="13570" width="17.42578125" style="7" customWidth="1"/>
    <col min="13571" max="13571" width="19.28515625" style="7" customWidth="1"/>
    <col min="13572" max="13572" width="21.85546875" style="7" customWidth="1"/>
    <col min="13573" max="13573" width="57.85546875" style="7" customWidth="1"/>
    <col min="13574" max="13574" width="66.28515625" style="7" customWidth="1"/>
    <col min="13575" max="13575" width="36.7109375" style="7" customWidth="1"/>
    <col min="13576" max="13576" width="18.140625" style="7" customWidth="1"/>
    <col min="13577" max="13577" width="19.5703125" style="7" customWidth="1"/>
    <col min="13578" max="13578" width="16.5703125" style="7" customWidth="1"/>
    <col min="13579" max="13579" width="21.140625" style="7" customWidth="1"/>
    <col min="13580" max="13580" width="1.42578125" style="7" customWidth="1"/>
    <col min="13581" max="13581" width="19.140625" style="7" customWidth="1"/>
    <col min="13582" max="13582" width="7" style="7" customWidth="1"/>
    <col min="13583" max="13583" width="7.85546875" style="7" customWidth="1"/>
    <col min="13584" max="13824" width="9.140625" style="7"/>
    <col min="13825" max="13825" width="3.28515625" style="7" customWidth="1"/>
    <col min="13826" max="13826" width="17.42578125" style="7" customWidth="1"/>
    <col min="13827" max="13827" width="19.28515625" style="7" customWidth="1"/>
    <col min="13828" max="13828" width="21.85546875" style="7" customWidth="1"/>
    <col min="13829" max="13829" width="57.85546875" style="7" customWidth="1"/>
    <col min="13830" max="13830" width="66.28515625" style="7" customWidth="1"/>
    <col min="13831" max="13831" width="36.7109375" style="7" customWidth="1"/>
    <col min="13832" max="13832" width="18.140625" style="7" customWidth="1"/>
    <col min="13833" max="13833" width="19.5703125" style="7" customWidth="1"/>
    <col min="13834" max="13834" width="16.5703125" style="7" customWidth="1"/>
    <col min="13835" max="13835" width="21.140625" style="7" customWidth="1"/>
    <col min="13836" max="13836" width="1.42578125" style="7" customWidth="1"/>
    <col min="13837" max="13837" width="19.140625" style="7" customWidth="1"/>
    <col min="13838" max="13838" width="7" style="7" customWidth="1"/>
    <col min="13839" max="13839" width="7.85546875" style="7" customWidth="1"/>
    <col min="13840" max="14080" width="9.140625" style="7"/>
    <col min="14081" max="14081" width="3.28515625" style="7" customWidth="1"/>
    <col min="14082" max="14082" width="17.42578125" style="7" customWidth="1"/>
    <col min="14083" max="14083" width="19.28515625" style="7" customWidth="1"/>
    <col min="14084" max="14084" width="21.85546875" style="7" customWidth="1"/>
    <col min="14085" max="14085" width="57.85546875" style="7" customWidth="1"/>
    <col min="14086" max="14086" width="66.28515625" style="7" customWidth="1"/>
    <col min="14087" max="14087" width="36.7109375" style="7" customWidth="1"/>
    <col min="14088" max="14088" width="18.140625" style="7" customWidth="1"/>
    <col min="14089" max="14089" width="19.5703125" style="7" customWidth="1"/>
    <col min="14090" max="14090" width="16.5703125" style="7" customWidth="1"/>
    <col min="14091" max="14091" width="21.140625" style="7" customWidth="1"/>
    <col min="14092" max="14092" width="1.42578125" style="7" customWidth="1"/>
    <col min="14093" max="14093" width="19.140625" style="7" customWidth="1"/>
    <col min="14094" max="14094" width="7" style="7" customWidth="1"/>
    <col min="14095" max="14095" width="7.85546875" style="7" customWidth="1"/>
    <col min="14096" max="14336" width="9.140625" style="7"/>
    <col min="14337" max="14337" width="3.28515625" style="7" customWidth="1"/>
    <col min="14338" max="14338" width="17.42578125" style="7" customWidth="1"/>
    <col min="14339" max="14339" width="19.28515625" style="7" customWidth="1"/>
    <col min="14340" max="14340" width="21.85546875" style="7" customWidth="1"/>
    <col min="14341" max="14341" width="57.85546875" style="7" customWidth="1"/>
    <col min="14342" max="14342" width="66.28515625" style="7" customWidth="1"/>
    <col min="14343" max="14343" width="36.7109375" style="7" customWidth="1"/>
    <col min="14344" max="14344" width="18.140625" style="7" customWidth="1"/>
    <col min="14345" max="14345" width="19.5703125" style="7" customWidth="1"/>
    <col min="14346" max="14346" width="16.5703125" style="7" customWidth="1"/>
    <col min="14347" max="14347" width="21.140625" style="7" customWidth="1"/>
    <col min="14348" max="14348" width="1.42578125" style="7" customWidth="1"/>
    <col min="14349" max="14349" width="19.140625" style="7" customWidth="1"/>
    <col min="14350" max="14350" width="7" style="7" customWidth="1"/>
    <col min="14351" max="14351" width="7.85546875" style="7" customWidth="1"/>
    <col min="14352" max="14592" width="9.140625" style="7"/>
    <col min="14593" max="14593" width="3.28515625" style="7" customWidth="1"/>
    <col min="14594" max="14594" width="17.42578125" style="7" customWidth="1"/>
    <col min="14595" max="14595" width="19.28515625" style="7" customWidth="1"/>
    <col min="14596" max="14596" width="21.85546875" style="7" customWidth="1"/>
    <col min="14597" max="14597" width="57.85546875" style="7" customWidth="1"/>
    <col min="14598" max="14598" width="66.28515625" style="7" customWidth="1"/>
    <col min="14599" max="14599" width="36.7109375" style="7" customWidth="1"/>
    <col min="14600" max="14600" width="18.140625" style="7" customWidth="1"/>
    <col min="14601" max="14601" width="19.5703125" style="7" customWidth="1"/>
    <col min="14602" max="14602" width="16.5703125" style="7" customWidth="1"/>
    <col min="14603" max="14603" width="21.140625" style="7" customWidth="1"/>
    <col min="14604" max="14604" width="1.42578125" style="7" customWidth="1"/>
    <col min="14605" max="14605" width="19.140625" style="7" customWidth="1"/>
    <col min="14606" max="14606" width="7" style="7" customWidth="1"/>
    <col min="14607" max="14607" width="7.85546875" style="7" customWidth="1"/>
    <col min="14608" max="14848" width="9.140625" style="7"/>
    <col min="14849" max="14849" width="3.28515625" style="7" customWidth="1"/>
    <col min="14850" max="14850" width="17.42578125" style="7" customWidth="1"/>
    <col min="14851" max="14851" width="19.28515625" style="7" customWidth="1"/>
    <col min="14852" max="14852" width="21.85546875" style="7" customWidth="1"/>
    <col min="14853" max="14853" width="57.85546875" style="7" customWidth="1"/>
    <col min="14854" max="14854" width="66.28515625" style="7" customWidth="1"/>
    <col min="14855" max="14855" width="36.7109375" style="7" customWidth="1"/>
    <col min="14856" max="14856" width="18.140625" style="7" customWidth="1"/>
    <col min="14857" max="14857" width="19.5703125" style="7" customWidth="1"/>
    <col min="14858" max="14858" width="16.5703125" style="7" customWidth="1"/>
    <col min="14859" max="14859" width="21.140625" style="7" customWidth="1"/>
    <col min="14860" max="14860" width="1.42578125" style="7" customWidth="1"/>
    <col min="14861" max="14861" width="19.140625" style="7" customWidth="1"/>
    <col min="14862" max="14862" width="7" style="7" customWidth="1"/>
    <col min="14863" max="14863" width="7.85546875" style="7" customWidth="1"/>
    <col min="14864" max="15104" width="9.140625" style="7"/>
    <col min="15105" max="15105" width="3.28515625" style="7" customWidth="1"/>
    <col min="15106" max="15106" width="17.42578125" style="7" customWidth="1"/>
    <col min="15107" max="15107" width="19.28515625" style="7" customWidth="1"/>
    <col min="15108" max="15108" width="21.85546875" style="7" customWidth="1"/>
    <col min="15109" max="15109" width="57.85546875" style="7" customWidth="1"/>
    <col min="15110" max="15110" width="66.28515625" style="7" customWidth="1"/>
    <col min="15111" max="15111" width="36.7109375" style="7" customWidth="1"/>
    <col min="15112" max="15112" width="18.140625" style="7" customWidth="1"/>
    <col min="15113" max="15113" width="19.5703125" style="7" customWidth="1"/>
    <col min="15114" max="15114" width="16.5703125" style="7" customWidth="1"/>
    <col min="15115" max="15115" width="21.140625" style="7" customWidth="1"/>
    <col min="15116" max="15116" width="1.42578125" style="7" customWidth="1"/>
    <col min="15117" max="15117" width="19.140625" style="7" customWidth="1"/>
    <col min="15118" max="15118" width="7" style="7" customWidth="1"/>
    <col min="15119" max="15119" width="7.85546875" style="7" customWidth="1"/>
    <col min="15120" max="15360" width="9.140625" style="7"/>
    <col min="15361" max="15361" width="3.28515625" style="7" customWidth="1"/>
    <col min="15362" max="15362" width="17.42578125" style="7" customWidth="1"/>
    <col min="15363" max="15363" width="19.28515625" style="7" customWidth="1"/>
    <col min="15364" max="15364" width="21.85546875" style="7" customWidth="1"/>
    <col min="15365" max="15365" width="57.85546875" style="7" customWidth="1"/>
    <col min="15366" max="15366" width="66.28515625" style="7" customWidth="1"/>
    <col min="15367" max="15367" width="36.7109375" style="7" customWidth="1"/>
    <col min="15368" max="15368" width="18.140625" style="7" customWidth="1"/>
    <col min="15369" max="15369" width="19.5703125" style="7" customWidth="1"/>
    <col min="15370" max="15370" width="16.5703125" style="7" customWidth="1"/>
    <col min="15371" max="15371" width="21.140625" style="7" customWidth="1"/>
    <col min="15372" max="15372" width="1.42578125" style="7" customWidth="1"/>
    <col min="15373" max="15373" width="19.140625" style="7" customWidth="1"/>
    <col min="15374" max="15374" width="7" style="7" customWidth="1"/>
    <col min="15375" max="15375" width="7.85546875" style="7" customWidth="1"/>
    <col min="15376" max="15616" width="9.140625" style="7"/>
    <col min="15617" max="15617" width="3.28515625" style="7" customWidth="1"/>
    <col min="15618" max="15618" width="17.42578125" style="7" customWidth="1"/>
    <col min="15619" max="15619" width="19.28515625" style="7" customWidth="1"/>
    <col min="15620" max="15620" width="21.85546875" style="7" customWidth="1"/>
    <col min="15621" max="15621" width="57.85546875" style="7" customWidth="1"/>
    <col min="15622" max="15622" width="66.28515625" style="7" customWidth="1"/>
    <col min="15623" max="15623" width="36.7109375" style="7" customWidth="1"/>
    <col min="15624" max="15624" width="18.140625" style="7" customWidth="1"/>
    <col min="15625" max="15625" width="19.5703125" style="7" customWidth="1"/>
    <col min="15626" max="15626" width="16.5703125" style="7" customWidth="1"/>
    <col min="15627" max="15627" width="21.140625" style="7" customWidth="1"/>
    <col min="15628" max="15628" width="1.42578125" style="7" customWidth="1"/>
    <col min="15629" max="15629" width="19.140625" style="7" customWidth="1"/>
    <col min="15630" max="15630" width="7" style="7" customWidth="1"/>
    <col min="15631" max="15631" width="7.85546875" style="7" customWidth="1"/>
    <col min="15632" max="15872" width="9.140625" style="7"/>
    <col min="15873" max="15873" width="3.28515625" style="7" customWidth="1"/>
    <col min="15874" max="15874" width="17.42578125" style="7" customWidth="1"/>
    <col min="15875" max="15875" width="19.28515625" style="7" customWidth="1"/>
    <col min="15876" max="15876" width="21.85546875" style="7" customWidth="1"/>
    <col min="15877" max="15877" width="57.85546875" style="7" customWidth="1"/>
    <col min="15878" max="15878" width="66.28515625" style="7" customWidth="1"/>
    <col min="15879" max="15879" width="36.7109375" style="7" customWidth="1"/>
    <col min="15880" max="15880" width="18.140625" style="7" customWidth="1"/>
    <col min="15881" max="15881" width="19.5703125" style="7" customWidth="1"/>
    <col min="15882" max="15882" width="16.5703125" style="7" customWidth="1"/>
    <col min="15883" max="15883" width="21.140625" style="7" customWidth="1"/>
    <col min="15884" max="15884" width="1.42578125" style="7" customWidth="1"/>
    <col min="15885" max="15885" width="19.140625" style="7" customWidth="1"/>
    <col min="15886" max="15886" width="7" style="7" customWidth="1"/>
    <col min="15887" max="15887" width="7.85546875" style="7" customWidth="1"/>
    <col min="15888" max="16128" width="9.140625" style="7"/>
    <col min="16129" max="16129" width="3.28515625" style="7" customWidth="1"/>
    <col min="16130" max="16130" width="17.42578125" style="7" customWidth="1"/>
    <col min="16131" max="16131" width="19.28515625" style="7" customWidth="1"/>
    <col min="16132" max="16132" width="21.85546875" style="7" customWidth="1"/>
    <col min="16133" max="16133" width="57.85546875" style="7" customWidth="1"/>
    <col min="16134" max="16134" width="66.28515625" style="7" customWidth="1"/>
    <col min="16135" max="16135" width="36.7109375" style="7" customWidth="1"/>
    <col min="16136" max="16136" width="18.140625" style="7" customWidth="1"/>
    <col min="16137" max="16137" width="19.5703125" style="7" customWidth="1"/>
    <col min="16138" max="16138" width="16.5703125" style="7" customWidth="1"/>
    <col min="16139" max="16139" width="21.140625" style="7" customWidth="1"/>
    <col min="16140" max="16140" width="1.42578125" style="7" customWidth="1"/>
    <col min="16141" max="16141" width="19.140625" style="7" customWidth="1"/>
    <col min="16142" max="16142" width="7" style="7" customWidth="1"/>
    <col min="16143" max="16143" width="7.85546875" style="7" customWidth="1"/>
    <col min="16144" max="16384" width="9.140625" style="7"/>
  </cols>
  <sheetData>
    <row r="1" spans="1:16" ht="9.75" customHeight="1" x14ac:dyDescent="0.25">
      <c r="B1" s="629"/>
      <c r="C1" s="629"/>
      <c r="D1" s="629"/>
      <c r="E1" s="629"/>
      <c r="F1" s="629"/>
      <c r="G1" s="629"/>
      <c r="H1" s="629"/>
      <c r="I1" s="629"/>
    </row>
    <row r="2" spans="1:16" ht="88.5" customHeight="1" x14ac:dyDescent="0.25">
      <c r="G2" s="630" t="s">
        <v>811</v>
      </c>
      <c r="H2" s="631"/>
      <c r="I2" s="631"/>
      <c r="J2" s="631"/>
      <c r="K2" s="631"/>
    </row>
    <row r="3" spans="1:16" ht="16.5" customHeight="1" x14ac:dyDescent="0.25">
      <c r="A3" s="299"/>
      <c r="B3" s="299"/>
      <c r="C3" s="299"/>
      <c r="D3" s="299"/>
      <c r="E3" s="299"/>
      <c r="F3" s="299"/>
      <c r="G3" s="236" t="s">
        <v>716</v>
      </c>
      <c r="H3" s="299"/>
      <c r="I3" s="299"/>
      <c r="J3" s="299"/>
      <c r="K3" s="299"/>
      <c r="L3" s="299"/>
      <c r="M3" s="299"/>
      <c r="N3" s="299"/>
      <c r="O3" s="299"/>
      <c r="P3" s="299"/>
    </row>
    <row r="4" spans="1:16" ht="39.75" customHeight="1" x14ac:dyDescent="0.25">
      <c r="A4" s="604" t="s">
        <v>500</v>
      </c>
      <c r="B4" s="604"/>
      <c r="C4" s="604"/>
      <c r="D4" s="604"/>
      <c r="E4" s="604"/>
      <c r="F4" s="604"/>
      <c r="G4" s="604"/>
      <c r="H4" s="604"/>
      <c r="I4" s="604"/>
      <c r="J4" s="604"/>
      <c r="K4" s="604"/>
      <c r="L4" s="604"/>
      <c r="M4" s="604"/>
      <c r="N4" s="604"/>
      <c r="O4" s="604"/>
      <c r="P4" s="604"/>
    </row>
    <row r="5" spans="1:16" ht="19.5" customHeight="1" x14ac:dyDescent="0.25">
      <c r="B5" s="300"/>
      <c r="C5" s="300"/>
      <c r="D5" s="300"/>
      <c r="E5" s="609" t="s">
        <v>3</v>
      </c>
      <c r="F5" s="609"/>
      <c r="G5" s="300"/>
      <c r="H5" s="300"/>
      <c r="I5" s="300"/>
    </row>
    <row r="6" spans="1:16" ht="23.25" customHeight="1" x14ac:dyDescent="0.25">
      <c r="B6" s="300"/>
      <c r="C6" s="300"/>
      <c r="D6" s="300"/>
      <c r="E6" s="301" t="s">
        <v>4</v>
      </c>
      <c r="F6" s="300"/>
      <c r="G6" s="300"/>
      <c r="H6" s="300"/>
      <c r="I6" s="300"/>
      <c r="K6" s="15" t="s">
        <v>129</v>
      </c>
    </row>
    <row r="7" spans="1:16" ht="19.5" customHeight="1" x14ac:dyDescent="0.25">
      <c r="B7" s="632" t="s">
        <v>501</v>
      </c>
      <c r="C7" s="632" t="s">
        <v>502</v>
      </c>
      <c r="D7" s="632" t="s">
        <v>503</v>
      </c>
      <c r="E7" s="632" t="s">
        <v>504</v>
      </c>
      <c r="F7" s="632" t="s">
        <v>505</v>
      </c>
      <c r="G7" s="632" t="s">
        <v>506</v>
      </c>
      <c r="H7" s="632" t="s">
        <v>8</v>
      </c>
      <c r="I7" s="632" t="s">
        <v>134</v>
      </c>
      <c r="J7" s="632" t="s">
        <v>10</v>
      </c>
      <c r="K7" s="632"/>
    </row>
    <row r="8" spans="1:16" s="302" customFormat="1" ht="94.5" customHeight="1" x14ac:dyDescent="0.25">
      <c r="B8" s="632"/>
      <c r="C8" s="632"/>
      <c r="D8" s="632"/>
      <c r="E8" s="632"/>
      <c r="F8" s="632"/>
      <c r="G8" s="632"/>
      <c r="H8" s="632"/>
      <c r="I8" s="632"/>
      <c r="J8" s="303" t="s">
        <v>11</v>
      </c>
      <c r="K8" s="303" t="s">
        <v>12</v>
      </c>
    </row>
    <row r="9" spans="1:16" s="302" customFormat="1" ht="21.75" customHeight="1" x14ac:dyDescent="0.25">
      <c r="B9" s="165">
        <v>1</v>
      </c>
      <c r="C9" s="165">
        <f>B9+1</f>
        <v>2</v>
      </c>
      <c r="D9" s="165">
        <f t="shared" ref="D9:K9" si="0">C9+1</f>
        <v>3</v>
      </c>
      <c r="E9" s="165">
        <f t="shared" si="0"/>
        <v>4</v>
      </c>
      <c r="F9" s="165">
        <f t="shared" si="0"/>
        <v>5</v>
      </c>
      <c r="G9" s="165">
        <f t="shared" si="0"/>
        <v>6</v>
      </c>
      <c r="H9" s="165">
        <f t="shared" si="0"/>
        <v>7</v>
      </c>
      <c r="I9" s="165">
        <f t="shared" si="0"/>
        <v>8</v>
      </c>
      <c r="J9" s="165">
        <f t="shared" si="0"/>
        <v>9</v>
      </c>
      <c r="K9" s="165">
        <f t="shared" si="0"/>
        <v>10</v>
      </c>
    </row>
    <row r="10" spans="1:16" s="304" customFormat="1" ht="31.5" x14ac:dyDescent="0.25">
      <c r="B10" s="210" t="s">
        <v>141</v>
      </c>
      <c r="C10" s="210" t="s">
        <v>142</v>
      </c>
      <c r="D10" s="305"/>
      <c r="E10" s="212" t="s">
        <v>143</v>
      </c>
      <c r="F10" s="306"/>
      <c r="G10" s="307"/>
      <c r="H10" s="449">
        <f>H11</f>
        <v>41784000</v>
      </c>
      <c r="I10" s="449">
        <f>I11</f>
        <v>12181000</v>
      </c>
      <c r="J10" s="449">
        <f>J11</f>
        <v>29603000</v>
      </c>
      <c r="K10" s="449">
        <f>K11</f>
        <v>29603000</v>
      </c>
    </row>
    <row r="11" spans="1:16" s="214" customFormat="1" ht="31.5" x14ac:dyDescent="0.25">
      <c r="B11" s="210" t="s">
        <v>144</v>
      </c>
      <c r="C11" s="210"/>
      <c r="D11" s="305"/>
      <c r="E11" s="212" t="s">
        <v>145</v>
      </c>
      <c r="F11" s="308"/>
      <c r="G11" s="309"/>
      <c r="H11" s="449">
        <f t="shared" ref="H11:I11" si="1">SUM(H12:H59)-H55-H53-H51-H49-H47-H39-H31-H57-H33-H29-H41-H59-H43</f>
        <v>41784000</v>
      </c>
      <c r="I11" s="449">
        <f t="shared" si="1"/>
        <v>12181000</v>
      </c>
      <c r="J11" s="449">
        <f>SUM(J12:J59)-J55-J53-J51-J49-J47-J39-J31-J57-J33-J29-J41-J59-J43</f>
        <v>29603000</v>
      </c>
      <c r="K11" s="449">
        <f>SUM(K12:K59)-K55-K53-K51-K49-K47-K39-K31-K57-K33-K29-K41-K59-K43</f>
        <v>29603000</v>
      </c>
      <c r="L11" s="310">
        <f>SUBTOTAL(9,L15:L16)</f>
        <v>0</v>
      </c>
    </row>
    <row r="12" spans="1:16" ht="46.5" customHeight="1" x14ac:dyDescent="0.25">
      <c r="B12" s="633" t="s">
        <v>150</v>
      </c>
      <c r="C12" s="635" t="s">
        <v>151</v>
      </c>
      <c r="D12" s="635" t="s">
        <v>152</v>
      </c>
      <c r="E12" s="637" t="s">
        <v>153</v>
      </c>
      <c r="F12" s="311" t="s">
        <v>507</v>
      </c>
      <c r="G12" s="312" t="s">
        <v>719</v>
      </c>
      <c r="H12" s="450">
        <f>I12+J12</f>
        <v>-120000</v>
      </c>
      <c r="I12" s="450">
        <v>-120000</v>
      </c>
      <c r="J12" s="451"/>
      <c r="K12" s="451"/>
    </row>
    <row r="13" spans="1:16" ht="54" hidden="1" customHeight="1" x14ac:dyDescent="0.25">
      <c r="B13" s="634"/>
      <c r="C13" s="636"/>
      <c r="D13" s="636"/>
      <c r="E13" s="638"/>
      <c r="F13" s="160" t="s">
        <v>508</v>
      </c>
      <c r="G13" s="312" t="s">
        <v>509</v>
      </c>
      <c r="H13" s="314">
        <f t="shared" ref="H13:H54" si="2">I13+J13</f>
        <v>0</v>
      </c>
      <c r="I13" s="172"/>
      <c r="J13" s="315"/>
      <c r="K13" s="315"/>
    </row>
    <row r="14" spans="1:16" ht="40.5" hidden="1" customHeight="1" x14ac:dyDescent="0.25">
      <c r="B14" s="140" t="s">
        <v>163</v>
      </c>
      <c r="C14" s="140" t="s">
        <v>164</v>
      </c>
      <c r="D14" s="155" t="s">
        <v>165</v>
      </c>
      <c r="E14" s="160" t="s">
        <v>166</v>
      </c>
      <c r="F14" s="639" t="s">
        <v>510</v>
      </c>
      <c r="G14" s="640" t="s">
        <v>511</v>
      </c>
      <c r="H14" s="316">
        <f t="shared" si="2"/>
        <v>0</v>
      </c>
      <c r="I14" s="317"/>
      <c r="J14" s="318"/>
      <c r="K14" s="319"/>
    </row>
    <row r="15" spans="1:16" ht="78" hidden="1" customHeight="1" x14ac:dyDescent="0.25">
      <c r="B15" s="140" t="s">
        <v>168</v>
      </c>
      <c r="C15" s="140" t="s">
        <v>169</v>
      </c>
      <c r="D15" s="155" t="s">
        <v>165</v>
      </c>
      <c r="E15" s="160" t="s">
        <v>170</v>
      </c>
      <c r="F15" s="639"/>
      <c r="G15" s="640"/>
      <c r="H15" s="320">
        <f t="shared" si="2"/>
        <v>0</v>
      </c>
      <c r="I15" s="172"/>
      <c r="J15" s="315"/>
      <c r="K15" s="315"/>
    </row>
    <row r="16" spans="1:16" ht="63.75" customHeight="1" x14ac:dyDescent="0.25">
      <c r="B16" s="140" t="s">
        <v>168</v>
      </c>
      <c r="C16" s="140" t="s">
        <v>169</v>
      </c>
      <c r="D16" s="155" t="s">
        <v>165</v>
      </c>
      <c r="E16" s="160" t="s">
        <v>170</v>
      </c>
      <c r="F16" s="160" t="s">
        <v>512</v>
      </c>
      <c r="G16" s="312" t="s">
        <v>513</v>
      </c>
      <c r="H16" s="319">
        <f>I16+J16</f>
        <v>3000000</v>
      </c>
      <c r="I16" s="317">
        <v>-1684000</v>
      </c>
      <c r="J16" s="318">
        <f>3000000+1684000</f>
        <v>4684000</v>
      </c>
      <c r="K16" s="318">
        <f>J16</f>
        <v>4684000</v>
      </c>
    </row>
    <row r="17" spans="2:11" ht="63.75" customHeight="1" x14ac:dyDescent="0.25">
      <c r="B17" s="140" t="s">
        <v>171</v>
      </c>
      <c r="C17" s="140" t="s">
        <v>172</v>
      </c>
      <c r="D17" s="146" t="s">
        <v>173</v>
      </c>
      <c r="E17" s="160" t="s">
        <v>174</v>
      </c>
      <c r="F17" s="641" t="s">
        <v>713</v>
      </c>
      <c r="G17" s="643" t="s">
        <v>714</v>
      </c>
      <c r="H17" s="450">
        <f t="shared" ref="H17" si="3">I17+J17</f>
        <v>-650000</v>
      </c>
      <c r="I17" s="450">
        <v>-550000</v>
      </c>
      <c r="J17" s="451">
        <v>-100000</v>
      </c>
      <c r="K17" s="451">
        <v>-100000</v>
      </c>
    </row>
    <row r="18" spans="2:11" ht="81" customHeight="1" x14ac:dyDescent="0.25">
      <c r="B18" s="140" t="s">
        <v>711</v>
      </c>
      <c r="C18" s="140" t="s">
        <v>709</v>
      </c>
      <c r="D18" s="141" t="s">
        <v>710</v>
      </c>
      <c r="E18" s="160" t="s">
        <v>712</v>
      </c>
      <c r="F18" s="642"/>
      <c r="G18" s="644"/>
      <c r="H18" s="450">
        <f t="shared" si="2"/>
        <v>5700000</v>
      </c>
      <c r="I18" s="450"/>
      <c r="J18" s="451">
        <v>5700000</v>
      </c>
      <c r="K18" s="451">
        <v>5700000</v>
      </c>
    </row>
    <row r="19" spans="2:11" ht="48" hidden="1" customHeight="1" x14ac:dyDescent="0.25">
      <c r="B19" s="633" t="s">
        <v>175</v>
      </c>
      <c r="C19" s="633" t="s">
        <v>176</v>
      </c>
      <c r="D19" s="635" t="s">
        <v>177</v>
      </c>
      <c r="E19" s="637" t="s">
        <v>178</v>
      </c>
      <c r="F19" s="311" t="s">
        <v>514</v>
      </c>
      <c r="G19" s="312" t="s">
        <v>515</v>
      </c>
      <c r="H19" s="321">
        <f t="shared" si="2"/>
        <v>0</v>
      </c>
      <c r="I19" s="317"/>
      <c r="J19" s="318"/>
      <c r="K19" s="318"/>
    </row>
    <row r="20" spans="2:11" ht="40.5" hidden="1" customHeight="1" x14ac:dyDescent="0.25">
      <c r="B20" s="634"/>
      <c r="C20" s="634"/>
      <c r="D20" s="636"/>
      <c r="E20" s="638"/>
      <c r="F20" s="311" t="s">
        <v>516</v>
      </c>
      <c r="G20" s="312" t="s">
        <v>517</v>
      </c>
      <c r="H20" s="321">
        <f t="shared" si="2"/>
        <v>0</v>
      </c>
      <c r="I20" s="317"/>
      <c r="J20" s="318"/>
      <c r="K20" s="318"/>
    </row>
    <row r="21" spans="2:11" ht="39" hidden="1" customHeight="1" x14ac:dyDescent="0.25">
      <c r="B21" s="140" t="s">
        <v>179</v>
      </c>
      <c r="C21" s="140" t="s">
        <v>180</v>
      </c>
      <c r="D21" s="146" t="s">
        <v>335</v>
      </c>
      <c r="E21" s="160" t="s">
        <v>182</v>
      </c>
      <c r="F21" s="160" t="s">
        <v>518</v>
      </c>
      <c r="G21" s="312" t="s">
        <v>519</v>
      </c>
      <c r="H21" s="321">
        <f t="shared" si="2"/>
        <v>0</v>
      </c>
      <c r="I21" s="317"/>
      <c r="J21" s="318"/>
      <c r="K21" s="318"/>
    </row>
    <row r="22" spans="2:11" ht="44.25" customHeight="1" x14ac:dyDescent="0.25">
      <c r="B22" s="140" t="s">
        <v>187</v>
      </c>
      <c r="C22" s="140" t="s">
        <v>188</v>
      </c>
      <c r="D22" s="146" t="s">
        <v>189</v>
      </c>
      <c r="E22" s="160" t="s">
        <v>190</v>
      </c>
      <c r="F22" s="160" t="s">
        <v>520</v>
      </c>
      <c r="G22" s="312" t="s">
        <v>521</v>
      </c>
      <c r="H22" s="317">
        <f t="shared" si="2"/>
        <v>-25000</v>
      </c>
      <c r="I22" s="317"/>
      <c r="J22" s="318">
        <v>-25000</v>
      </c>
      <c r="K22" s="318">
        <v>-25000</v>
      </c>
    </row>
    <row r="23" spans="2:11" ht="39" hidden="1" customHeight="1" x14ac:dyDescent="0.25">
      <c r="B23" s="140" t="s">
        <v>191</v>
      </c>
      <c r="C23" s="140" t="s">
        <v>192</v>
      </c>
      <c r="D23" s="146" t="s">
        <v>185</v>
      </c>
      <c r="E23" s="160" t="s">
        <v>193</v>
      </c>
      <c r="F23" s="160" t="s">
        <v>522</v>
      </c>
      <c r="G23" s="312" t="s">
        <v>523</v>
      </c>
      <c r="H23" s="321">
        <f t="shared" si="2"/>
        <v>0</v>
      </c>
      <c r="I23" s="317"/>
      <c r="J23" s="318"/>
      <c r="K23" s="318"/>
    </row>
    <row r="24" spans="2:11" ht="66.75" customHeight="1" x14ac:dyDescent="0.25">
      <c r="B24" s="140" t="s">
        <v>197</v>
      </c>
      <c r="C24" s="140" t="s">
        <v>198</v>
      </c>
      <c r="D24" s="146" t="s">
        <v>185</v>
      </c>
      <c r="E24" s="160" t="s">
        <v>199</v>
      </c>
      <c r="F24" s="160" t="s">
        <v>524</v>
      </c>
      <c r="G24" s="312" t="s">
        <v>525</v>
      </c>
      <c r="H24" s="450">
        <f t="shared" si="2"/>
        <v>-115000</v>
      </c>
      <c r="I24" s="450">
        <v>-115000</v>
      </c>
      <c r="J24" s="451"/>
      <c r="K24" s="451"/>
    </row>
    <row r="25" spans="2:11" ht="50.25" hidden="1" customHeight="1" x14ac:dyDescent="0.25">
      <c r="B25" s="140" t="s">
        <v>200</v>
      </c>
      <c r="C25" s="165">
        <v>8110</v>
      </c>
      <c r="D25" s="146" t="s">
        <v>202</v>
      </c>
      <c r="E25" s="166" t="s">
        <v>203</v>
      </c>
      <c r="F25" s="160" t="s">
        <v>526</v>
      </c>
      <c r="G25" s="312" t="s">
        <v>527</v>
      </c>
      <c r="H25" s="321">
        <f t="shared" si="2"/>
        <v>0</v>
      </c>
      <c r="I25" s="313"/>
      <c r="J25" s="217"/>
      <c r="K25" s="217"/>
    </row>
    <row r="26" spans="2:11" ht="63" hidden="1" x14ac:dyDescent="0.25">
      <c r="B26" s="140" t="s">
        <v>200</v>
      </c>
      <c r="C26" s="165">
        <v>8110</v>
      </c>
      <c r="D26" s="146" t="s">
        <v>202</v>
      </c>
      <c r="E26" s="166" t="s">
        <v>203</v>
      </c>
      <c r="F26" s="160" t="s">
        <v>528</v>
      </c>
      <c r="G26" s="312" t="s">
        <v>529</v>
      </c>
      <c r="H26" s="321">
        <f t="shared" si="2"/>
        <v>0</v>
      </c>
      <c r="I26" s="313"/>
      <c r="J26" s="217"/>
      <c r="K26" s="217"/>
    </row>
    <row r="27" spans="2:11" ht="52.5" customHeight="1" x14ac:dyDescent="0.25">
      <c r="B27" s="140" t="s">
        <v>204</v>
      </c>
      <c r="C27" s="165">
        <v>8240</v>
      </c>
      <c r="D27" s="146" t="s">
        <v>202</v>
      </c>
      <c r="E27" s="166" t="s">
        <v>205</v>
      </c>
      <c r="F27" s="160" t="s">
        <v>530</v>
      </c>
      <c r="G27" s="312" t="s">
        <v>681</v>
      </c>
      <c r="H27" s="450">
        <f t="shared" si="2"/>
        <v>350000</v>
      </c>
      <c r="I27" s="450"/>
      <c r="J27" s="451">
        <v>350000</v>
      </c>
      <c r="K27" s="451">
        <v>350000</v>
      </c>
    </row>
    <row r="28" spans="2:11" ht="52.5" hidden="1" customHeight="1" x14ac:dyDescent="0.25">
      <c r="B28" s="140" t="s">
        <v>455</v>
      </c>
      <c r="C28" s="140" t="s">
        <v>456</v>
      </c>
      <c r="D28" s="141" t="s">
        <v>151</v>
      </c>
      <c r="E28" s="171" t="s">
        <v>108</v>
      </c>
      <c r="F28" s="160" t="s">
        <v>678</v>
      </c>
      <c r="G28" s="312" t="s">
        <v>680</v>
      </c>
      <c r="H28" s="321">
        <f t="shared" si="2"/>
        <v>0</v>
      </c>
      <c r="I28" s="172"/>
      <c r="J28" s="315"/>
      <c r="K28" s="315"/>
    </row>
    <row r="29" spans="2:11" ht="52.5" hidden="1" customHeight="1" x14ac:dyDescent="0.25">
      <c r="B29" s="323" t="s">
        <v>533</v>
      </c>
      <c r="C29" s="324" t="s">
        <v>533</v>
      </c>
      <c r="D29" s="325" t="s">
        <v>533</v>
      </c>
      <c r="E29" s="400" t="s">
        <v>679</v>
      </c>
      <c r="F29" s="327" t="s">
        <v>533</v>
      </c>
      <c r="G29" s="327" t="s">
        <v>533</v>
      </c>
      <c r="H29" s="561">
        <f t="shared" si="2"/>
        <v>0</v>
      </c>
      <c r="I29" s="329"/>
      <c r="J29" s="401"/>
      <c r="K29" s="401"/>
    </row>
    <row r="30" spans="2:11" ht="47.25" x14ac:dyDescent="0.25">
      <c r="B30" s="140" t="s">
        <v>206</v>
      </c>
      <c r="C30" s="140" t="s">
        <v>207</v>
      </c>
      <c r="D30" s="146" t="s">
        <v>151</v>
      </c>
      <c r="E30" s="186" t="s">
        <v>208</v>
      </c>
      <c r="F30" s="322" t="s">
        <v>531</v>
      </c>
      <c r="G30" s="312" t="s">
        <v>532</v>
      </c>
      <c r="H30" s="450">
        <f t="shared" si="2"/>
        <v>2000000</v>
      </c>
      <c r="I30" s="450">
        <v>150000</v>
      </c>
      <c r="J30" s="451">
        <v>1850000</v>
      </c>
      <c r="K30" s="451">
        <v>1850000</v>
      </c>
    </row>
    <row r="31" spans="2:11" ht="52.5" customHeight="1" x14ac:dyDescent="0.25">
      <c r="B31" s="323" t="s">
        <v>533</v>
      </c>
      <c r="C31" s="324" t="s">
        <v>533</v>
      </c>
      <c r="D31" s="325" t="s">
        <v>533</v>
      </c>
      <c r="E31" s="326" t="s">
        <v>534</v>
      </c>
      <c r="F31" s="327" t="s">
        <v>533</v>
      </c>
      <c r="G31" s="328" t="s">
        <v>533</v>
      </c>
      <c r="H31" s="452">
        <f t="shared" si="2"/>
        <v>2000000</v>
      </c>
      <c r="I31" s="452">
        <v>150000</v>
      </c>
      <c r="J31" s="452">
        <v>1850000</v>
      </c>
      <c r="K31" s="452">
        <v>1850000</v>
      </c>
    </row>
    <row r="32" spans="2:11" ht="52.5" hidden="1" customHeight="1" x14ac:dyDescent="0.25">
      <c r="B32" s="140" t="s">
        <v>206</v>
      </c>
      <c r="C32" s="140" t="s">
        <v>207</v>
      </c>
      <c r="D32" s="146" t="s">
        <v>151</v>
      </c>
      <c r="E32" s="58" t="s">
        <v>208</v>
      </c>
      <c r="F32" s="330" t="s">
        <v>535</v>
      </c>
      <c r="G32" s="331" t="s">
        <v>536</v>
      </c>
      <c r="H32" s="321">
        <f t="shared" si="2"/>
        <v>0</v>
      </c>
      <c r="I32" s="313"/>
      <c r="J32" s="217"/>
      <c r="K32" s="217"/>
    </row>
    <row r="33" spans="1:11" ht="52.5" hidden="1" customHeight="1" x14ac:dyDescent="0.25">
      <c r="B33" s="332" t="s">
        <v>533</v>
      </c>
      <c r="C33" s="333" t="s">
        <v>533</v>
      </c>
      <c r="D33" s="334" t="s">
        <v>533</v>
      </c>
      <c r="E33" s="335" t="s">
        <v>537</v>
      </c>
      <c r="F33" s="336" t="s">
        <v>533</v>
      </c>
      <c r="G33" s="328" t="s">
        <v>533</v>
      </c>
      <c r="H33" s="561">
        <f t="shared" si="2"/>
        <v>0</v>
      </c>
      <c r="I33" s="337"/>
      <c r="J33" s="337"/>
      <c r="K33" s="337"/>
    </row>
    <row r="34" spans="1:11" ht="52.5" hidden="1" customHeight="1" x14ac:dyDescent="0.25">
      <c r="B34" s="140" t="s">
        <v>206</v>
      </c>
      <c r="C34" s="140" t="s">
        <v>207</v>
      </c>
      <c r="D34" s="146" t="s">
        <v>151</v>
      </c>
      <c r="E34" s="154" t="s">
        <v>208</v>
      </c>
      <c r="F34" s="160" t="s">
        <v>538</v>
      </c>
      <c r="G34" s="312" t="s">
        <v>539</v>
      </c>
      <c r="H34" s="321">
        <f t="shared" si="2"/>
        <v>0</v>
      </c>
      <c r="I34" s="172"/>
      <c r="J34" s="315"/>
      <c r="K34" s="315"/>
    </row>
    <row r="35" spans="1:11" ht="52.5" hidden="1" customHeight="1" x14ac:dyDescent="0.25">
      <c r="B35" s="323" t="s">
        <v>533</v>
      </c>
      <c r="C35" s="324" t="s">
        <v>533</v>
      </c>
      <c r="D35" s="325" t="s">
        <v>533</v>
      </c>
      <c r="E35" s="338" t="s">
        <v>540</v>
      </c>
      <c r="F35" s="339" t="s">
        <v>533</v>
      </c>
      <c r="G35" s="340" t="s">
        <v>533</v>
      </c>
      <c r="H35" s="321">
        <f t="shared" si="2"/>
        <v>0</v>
      </c>
      <c r="I35" s="172">
        <f>I34</f>
        <v>0</v>
      </c>
      <c r="J35" s="172">
        <f>J34</f>
        <v>0</v>
      </c>
      <c r="K35" s="172">
        <f>K34</f>
        <v>0</v>
      </c>
    </row>
    <row r="36" spans="1:11" ht="52.5" hidden="1" customHeight="1" x14ac:dyDescent="0.25">
      <c r="B36" s="140" t="s">
        <v>206</v>
      </c>
      <c r="C36" s="140" t="s">
        <v>207</v>
      </c>
      <c r="D36" s="146" t="s">
        <v>151</v>
      </c>
      <c r="E36" s="154" t="s">
        <v>208</v>
      </c>
      <c r="F36" s="160" t="s">
        <v>541</v>
      </c>
      <c r="G36" s="312" t="s">
        <v>542</v>
      </c>
      <c r="H36" s="321">
        <f t="shared" si="2"/>
        <v>0</v>
      </c>
      <c r="I36" s="172"/>
      <c r="J36" s="315"/>
      <c r="K36" s="315"/>
    </row>
    <row r="37" spans="1:11" ht="52.5" hidden="1" customHeight="1" x14ac:dyDescent="0.25">
      <c r="B37" s="323" t="s">
        <v>533</v>
      </c>
      <c r="C37" s="324" t="s">
        <v>533</v>
      </c>
      <c r="D37" s="325" t="s">
        <v>533</v>
      </c>
      <c r="E37" s="176" t="s">
        <v>543</v>
      </c>
      <c r="F37" s="339" t="s">
        <v>533</v>
      </c>
      <c r="G37" s="340" t="s">
        <v>533</v>
      </c>
      <c r="H37" s="321">
        <f t="shared" si="2"/>
        <v>0</v>
      </c>
      <c r="I37" s="172"/>
      <c r="J37" s="172"/>
      <c r="K37" s="172"/>
    </row>
    <row r="38" spans="1:11" ht="55.5" customHeight="1" x14ac:dyDescent="0.25">
      <c r="B38" s="140" t="s">
        <v>206</v>
      </c>
      <c r="C38" s="140" t="s">
        <v>207</v>
      </c>
      <c r="D38" s="146" t="s">
        <v>151</v>
      </c>
      <c r="E38" s="186" t="s">
        <v>208</v>
      </c>
      <c r="F38" s="160" t="s">
        <v>544</v>
      </c>
      <c r="G38" s="312" t="s">
        <v>545</v>
      </c>
      <c r="H38" s="450">
        <f>I38+J38</f>
        <v>2000000</v>
      </c>
      <c r="I38" s="450">
        <v>600000</v>
      </c>
      <c r="J38" s="451">
        <v>1400000</v>
      </c>
      <c r="K38" s="451">
        <v>1400000</v>
      </c>
    </row>
    <row r="39" spans="1:11" ht="52.5" customHeight="1" x14ac:dyDescent="0.25">
      <c r="A39" s="177"/>
      <c r="B39" s="323" t="s">
        <v>533</v>
      </c>
      <c r="C39" s="324" t="s">
        <v>533</v>
      </c>
      <c r="D39" s="325" t="s">
        <v>533</v>
      </c>
      <c r="E39" s="341" t="s">
        <v>546</v>
      </c>
      <c r="F39" s="342" t="s">
        <v>533</v>
      </c>
      <c r="G39" s="342" t="s">
        <v>533</v>
      </c>
      <c r="H39" s="450">
        <f>I39+J39</f>
        <v>2000000</v>
      </c>
      <c r="I39" s="452">
        <v>600000</v>
      </c>
      <c r="J39" s="452">
        <v>1400000</v>
      </c>
      <c r="K39" s="452">
        <v>1400000</v>
      </c>
    </row>
    <row r="40" spans="1:11" ht="52.5" customHeight="1" x14ac:dyDescent="0.25">
      <c r="A40" s="177"/>
      <c r="B40" s="136" t="s">
        <v>206</v>
      </c>
      <c r="C40" s="136" t="s">
        <v>207</v>
      </c>
      <c r="D40" s="192" t="s">
        <v>151</v>
      </c>
      <c r="E40" s="186" t="s">
        <v>208</v>
      </c>
      <c r="F40" s="343" t="s">
        <v>547</v>
      </c>
      <c r="G40" s="344" t="s">
        <v>548</v>
      </c>
      <c r="H40" s="450">
        <f>I40+J40</f>
        <v>700000</v>
      </c>
      <c r="I40" s="452">
        <v>700000</v>
      </c>
      <c r="J40" s="453"/>
      <c r="K40" s="453"/>
    </row>
    <row r="41" spans="1:11" ht="52.5" customHeight="1" x14ac:dyDescent="0.25">
      <c r="A41" s="177"/>
      <c r="B41" s="345" t="s">
        <v>533</v>
      </c>
      <c r="C41" s="346" t="s">
        <v>533</v>
      </c>
      <c r="D41" s="347" t="s">
        <v>533</v>
      </c>
      <c r="E41" s="348" t="s">
        <v>549</v>
      </c>
      <c r="F41" s="349" t="s">
        <v>533</v>
      </c>
      <c r="G41" s="350" t="s">
        <v>533</v>
      </c>
      <c r="H41" s="452">
        <f>I41+J41</f>
        <v>700000</v>
      </c>
      <c r="I41" s="452">
        <f>I40</f>
        <v>700000</v>
      </c>
      <c r="J41" s="452"/>
      <c r="K41" s="452"/>
    </row>
    <row r="42" spans="1:11" ht="52.5" customHeight="1" x14ac:dyDescent="0.25">
      <c r="B42" s="563" t="s">
        <v>206</v>
      </c>
      <c r="C42" s="563" t="s">
        <v>207</v>
      </c>
      <c r="D42" s="564" t="s">
        <v>151</v>
      </c>
      <c r="E42" s="565" t="s">
        <v>208</v>
      </c>
      <c r="F42" s="566" t="s">
        <v>550</v>
      </c>
      <c r="G42" s="567" t="s">
        <v>826</v>
      </c>
      <c r="H42" s="450">
        <f t="shared" ref="H42:H47" si="4">I42+J42</f>
        <v>2000000</v>
      </c>
      <c r="I42" s="450">
        <v>0</v>
      </c>
      <c r="J42" s="451">
        <v>2000000</v>
      </c>
      <c r="K42" s="451">
        <v>2000000</v>
      </c>
    </row>
    <row r="43" spans="1:11" ht="52.5" customHeight="1" x14ac:dyDescent="0.25">
      <c r="B43" s="568" t="s">
        <v>533</v>
      </c>
      <c r="C43" s="569" t="s">
        <v>533</v>
      </c>
      <c r="D43" s="570" t="s">
        <v>533</v>
      </c>
      <c r="E43" s="571" t="s">
        <v>551</v>
      </c>
      <c r="F43" s="572" t="s">
        <v>533</v>
      </c>
      <c r="G43" s="573" t="s">
        <v>533</v>
      </c>
      <c r="H43" s="452">
        <f t="shared" si="4"/>
        <v>2000000</v>
      </c>
      <c r="I43" s="452">
        <f>I42</f>
        <v>0</v>
      </c>
      <c r="J43" s="452">
        <f>J42</f>
        <v>2000000</v>
      </c>
      <c r="K43" s="452">
        <f>K42</f>
        <v>2000000</v>
      </c>
    </row>
    <row r="44" spans="1:11" ht="72.75" hidden="1" customHeight="1" x14ac:dyDescent="0.25">
      <c r="B44" s="140" t="s">
        <v>206</v>
      </c>
      <c r="C44" s="140" t="s">
        <v>207</v>
      </c>
      <c r="D44" s="146" t="s">
        <v>151</v>
      </c>
      <c r="E44" s="154" t="s">
        <v>208</v>
      </c>
      <c r="F44" s="160" t="s">
        <v>552</v>
      </c>
      <c r="G44" s="312" t="s">
        <v>553</v>
      </c>
      <c r="H44" s="321">
        <f>I44+J44</f>
        <v>0</v>
      </c>
      <c r="I44" s="313"/>
      <c r="J44" s="217"/>
      <c r="K44" s="217"/>
    </row>
    <row r="45" spans="1:11" s="177" customFormat="1" ht="55.5" hidden="1" customHeight="1" x14ac:dyDescent="0.25">
      <c r="B45" s="332" t="s">
        <v>533</v>
      </c>
      <c r="C45" s="333" t="s">
        <v>533</v>
      </c>
      <c r="D45" s="334" t="s">
        <v>533</v>
      </c>
      <c r="E45" s="351" t="s">
        <v>554</v>
      </c>
      <c r="F45" s="352" t="s">
        <v>533</v>
      </c>
      <c r="G45" s="328" t="s">
        <v>533</v>
      </c>
      <c r="H45" s="561">
        <f>I45+J45</f>
        <v>0</v>
      </c>
      <c r="I45" s="337"/>
      <c r="J45" s="219"/>
      <c r="K45" s="219"/>
    </row>
    <row r="46" spans="1:11" ht="47.25" x14ac:dyDescent="0.25">
      <c r="B46" s="140" t="s">
        <v>206</v>
      </c>
      <c r="C46" s="140" t="s">
        <v>207</v>
      </c>
      <c r="D46" s="146" t="s">
        <v>151</v>
      </c>
      <c r="E46" s="154" t="s">
        <v>208</v>
      </c>
      <c r="F46" s="160" t="s">
        <v>555</v>
      </c>
      <c r="G46" s="312" t="s">
        <v>556</v>
      </c>
      <c r="H46" s="450">
        <f t="shared" si="4"/>
        <v>5000000</v>
      </c>
      <c r="I46" s="450">
        <v>5000000</v>
      </c>
      <c r="J46" s="451"/>
      <c r="K46" s="451"/>
    </row>
    <row r="47" spans="1:11" s="177" customFormat="1" ht="50.25" customHeight="1" x14ac:dyDescent="0.25">
      <c r="B47" s="353" t="s">
        <v>533</v>
      </c>
      <c r="C47" s="354" t="s">
        <v>533</v>
      </c>
      <c r="D47" s="355" t="s">
        <v>533</v>
      </c>
      <c r="E47" s="176" t="s">
        <v>557</v>
      </c>
      <c r="F47" s="342" t="s">
        <v>533</v>
      </c>
      <c r="G47" s="328" t="s">
        <v>533</v>
      </c>
      <c r="H47" s="452">
        <f t="shared" si="4"/>
        <v>5000000</v>
      </c>
      <c r="I47" s="452">
        <v>5000000</v>
      </c>
      <c r="J47" s="452"/>
      <c r="K47" s="452"/>
    </row>
    <row r="48" spans="1:11" ht="83.25" customHeight="1" x14ac:dyDescent="0.25">
      <c r="B48" s="140" t="s">
        <v>206</v>
      </c>
      <c r="C48" s="140" t="s">
        <v>207</v>
      </c>
      <c r="D48" s="146" t="s">
        <v>151</v>
      </c>
      <c r="E48" s="154" t="s">
        <v>208</v>
      </c>
      <c r="F48" s="160" t="s">
        <v>558</v>
      </c>
      <c r="G48" s="312" t="s">
        <v>559</v>
      </c>
      <c r="H48" s="450">
        <f t="shared" si="2"/>
        <v>10000000</v>
      </c>
      <c r="I48" s="450">
        <v>2000000</v>
      </c>
      <c r="J48" s="450">
        <v>8000000</v>
      </c>
      <c r="K48" s="450">
        <v>8000000</v>
      </c>
    </row>
    <row r="49" spans="2:11" s="177" customFormat="1" ht="60.75" customHeight="1" x14ac:dyDescent="0.25">
      <c r="B49" s="332" t="s">
        <v>533</v>
      </c>
      <c r="C49" s="333" t="s">
        <v>533</v>
      </c>
      <c r="D49" s="334" t="s">
        <v>533</v>
      </c>
      <c r="E49" s="176" t="s">
        <v>560</v>
      </c>
      <c r="F49" s="352" t="s">
        <v>533</v>
      </c>
      <c r="G49" s="328" t="s">
        <v>533</v>
      </c>
      <c r="H49" s="452">
        <f>I49+J49</f>
        <v>10000000</v>
      </c>
      <c r="I49" s="452">
        <v>2000000</v>
      </c>
      <c r="J49" s="452">
        <v>8000000</v>
      </c>
      <c r="K49" s="452">
        <v>8000000</v>
      </c>
    </row>
    <row r="50" spans="2:11" s="177" customFormat="1" ht="60.75" customHeight="1" x14ac:dyDescent="0.25">
      <c r="B50" s="136" t="s">
        <v>206</v>
      </c>
      <c r="C50" s="140" t="s">
        <v>207</v>
      </c>
      <c r="D50" s="146" t="s">
        <v>151</v>
      </c>
      <c r="E50" s="154" t="s">
        <v>208</v>
      </c>
      <c r="F50" s="160" t="s">
        <v>561</v>
      </c>
      <c r="G50" s="356" t="s">
        <v>562</v>
      </c>
      <c r="H50" s="450">
        <f>I50+J50</f>
        <v>5000000</v>
      </c>
      <c r="I50" s="450">
        <v>5000000</v>
      </c>
      <c r="J50" s="450"/>
      <c r="K50" s="450"/>
    </row>
    <row r="51" spans="2:11" s="177" customFormat="1" ht="60.75" customHeight="1" x14ac:dyDescent="0.25">
      <c r="B51" s="333" t="s">
        <v>533</v>
      </c>
      <c r="C51" s="333" t="s">
        <v>533</v>
      </c>
      <c r="D51" s="334" t="s">
        <v>533</v>
      </c>
      <c r="E51" s="176" t="s">
        <v>554</v>
      </c>
      <c r="F51" s="352" t="s">
        <v>533</v>
      </c>
      <c r="G51" s="328" t="s">
        <v>533</v>
      </c>
      <c r="H51" s="452">
        <f>I51+J51</f>
        <v>5000000</v>
      </c>
      <c r="I51" s="452">
        <f>I50</f>
        <v>5000000</v>
      </c>
      <c r="J51" s="452"/>
      <c r="K51" s="452"/>
    </row>
    <row r="52" spans="2:11" s="177" customFormat="1" ht="60.75" hidden="1" customHeight="1" x14ac:dyDescent="0.25">
      <c r="B52" s="332"/>
      <c r="C52" s="140" t="s">
        <v>207</v>
      </c>
      <c r="D52" s="146" t="s">
        <v>151</v>
      </c>
      <c r="E52" s="154" t="s">
        <v>208</v>
      </c>
      <c r="F52" s="160" t="s">
        <v>563</v>
      </c>
      <c r="G52" s="356" t="s">
        <v>564</v>
      </c>
      <c r="H52" s="321">
        <f>I52+J52</f>
        <v>0</v>
      </c>
      <c r="I52" s="172"/>
      <c r="J52" s="172"/>
      <c r="K52" s="172"/>
    </row>
    <row r="53" spans="2:11" s="177" customFormat="1" ht="60.75" hidden="1" customHeight="1" x14ac:dyDescent="0.25">
      <c r="B53" s="332"/>
      <c r="C53" s="333" t="s">
        <v>533</v>
      </c>
      <c r="D53" s="334" t="s">
        <v>533</v>
      </c>
      <c r="E53" s="176" t="s">
        <v>565</v>
      </c>
      <c r="F53" s="352" t="s">
        <v>533</v>
      </c>
      <c r="G53" s="328" t="s">
        <v>533</v>
      </c>
      <c r="H53" s="561">
        <f>I53+J53</f>
        <v>0</v>
      </c>
      <c r="I53" s="329"/>
      <c r="J53" s="329"/>
      <c r="K53" s="329"/>
    </row>
    <row r="54" spans="2:11" s="177" customFormat="1" ht="60.75" hidden="1" customHeight="1" x14ac:dyDescent="0.25">
      <c r="B54" s="136" t="s">
        <v>206</v>
      </c>
      <c r="C54" s="136" t="s">
        <v>207</v>
      </c>
      <c r="D54" s="192" t="s">
        <v>151</v>
      </c>
      <c r="E54" s="186" t="s">
        <v>208</v>
      </c>
      <c r="F54" s="164" t="s">
        <v>566</v>
      </c>
      <c r="G54" s="312" t="s">
        <v>567</v>
      </c>
      <c r="H54" s="321">
        <f t="shared" si="2"/>
        <v>0</v>
      </c>
      <c r="I54" s="172"/>
      <c r="J54" s="172"/>
      <c r="K54" s="172"/>
    </row>
    <row r="55" spans="2:11" s="177" customFormat="1" ht="60.75" hidden="1" customHeight="1" x14ac:dyDescent="0.25">
      <c r="B55" s="140"/>
      <c r="C55" s="333" t="s">
        <v>533</v>
      </c>
      <c r="D55" s="334" t="s">
        <v>533</v>
      </c>
      <c r="E55" s="176" t="s">
        <v>568</v>
      </c>
      <c r="F55" s="352" t="s">
        <v>533</v>
      </c>
      <c r="G55" s="328" t="s">
        <v>533</v>
      </c>
      <c r="H55" s="561">
        <f>I55+J55</f>
        <v>0</v>
      </c>
      <c r="I55" s="329"/>
      <c r="J55" s="329"/>
      <c r="K55" s="329"/>
    </row>
    <row r="56" spans="2:11" s="177" customFormat="1" ht="60.75" hidden="1" customHeight="1" x14ac:dyDescent="0.25">
      <c r="B56" s="136" t="s">
        <v>206</v>
      </c>
      <c r="C56" s="136" t="s">
        <v>207</v>
      </c>
      <c r="D56" s="192" t="s">
        <v>151</v>
      </c>
      <c r="E56" s="186" t="s">
        <v>208</v>
      </c>
      <c r="F56" s="164" t="s">
        <v>569</v>
      </c>
      <c r="G56" s="312" t="s">
        <v>676</v>
      </c>
      <c r="H56" s="321">
        <f>I56+J56</f>
        <v>0</v>
      </c>
      <c r="I56" s="172"/>
      <c r="J56" s="172"/>
      <c r="K56" s="172"/>
    </row>
    <row r="57" spans="2:11" s="177" customFormat="1" ht="60.75" hidden="1" customHeight="1" x14ac:dyDescent="0.25">
      <c r="B57" s="333" t="s">
        <v>533</v>
      </c>
      <c r="C57" s="333" t="s">
        <v>533</v>
      </c>
      <c r="D57" s="334" t="s">
        <v>533</v>
      </c>
      <c r="E57" s="395" t="s">
        <v>675</v>
      </c>
      <c r="F57" s="352" t="s">
        <v>533</v>
      </c>
      <c r="G57" s="328" t="s">
        <v>533</v>
      </c>
      <c r="H57" s="561">
        <f>I57+J57</f>
        <v>0</v>
      </c>
      <c r="I57" s="329">
        <f>I56</f>
        <v>0</v>
      </c>
      <c r="J57" s="329"/>
      <c r="K57" s="329"/>
    </row>
    <row r="58" spans="2:11" s="177" customFormat="1" ht="60.75" customHeight="1" x14ac:dyDescent="0.25">
      <c r="B58" s="136" t="s">
        <v>206</v>
      </c>
      <c r="C58" s="136" t="s">
        <v>207</v>
      </c>
      <c r="D58" s="192" t="s">
        <v>151</v>
      </c>
      <c r="E58" s="186" t="s">
        <v>208</v>
      </c>
      <c r="F58" s="357" t="s">
        <v>570</v>
      </c>
      <c r="G58" s="312" t="s">
        <v>720</v>
      </c>
      <c r="H58" s="450">
        <f>I58+J58</f>
        <v>6944000</v>
      </c>
      <c r="I58" s="450">
        <f>800000+400000</f>
        <v>1200000</v>
      </c>
      <c r="J58" s="450">
        <f>3244000+2500000</f>
        <v>5744000</v>
      </c>
      <c r="K58" s="450">
        <f>J58</f>
        <v>5744000</v>
      </c>
    </row>
    <row r="59" spans="2:11" s="177" customFormat="1" ht="23.25" customHeight="1" x14ac:dyDescent="0.25">
      <c r="B59" s="148"/>
      <c r="C59" s="333"/>
      <c r="D59" s="334"/>
      <c r="E59" s="358" t="s">
        <v>730</v>
      </c>
      <c r="F59" s="352" t="s">
        <v>533</v>
      </c>
      <c r="G59" s="352" t="s">
        <v>533</v>
      </c>
      <c r="H59" s="452">
        <f>H58</f>
        <v>6944000</v>
      </c>
      <c r="I59" s="452">
        <f t="shared" ref="I59:K59" si="5">I58</f>
        <v>1200000</v>
      </c>
      <c r="J59" s="452">
        <f t="shared" si="5"/>
        <v>5744000</v>
      </c>
      <c r="K59" s="452">
        <f t="shared" si="5"/>
        <v>5744000</v>
      </c>
    </row>
    <row r="60" spans="2:11" ht="40.5" customHeight="1" x14ac:dyDescent="0.25">
      <c r="B60" s="210" t="s">
        <v>209</v>
      </c>
      <c r="C60" s="305" t="s">
        <v>210</v>
      </c>
      <c r="D60" s="305"/>
      <c r="E60" s="212" t="s">
        <v>211</v>
      </c>
      <c r="F60" s="306"/>
      <c r="G60" s="307"/>
      <c r="H60" s="449">
        <f>H61</f>
        <v>320000</v>
      </c>
      <c r="I60" s="449">
        <f>I61</f>
        <v>420000</v>
      </c>
      <c r="J60" s="449">
        <f>J61</f>
        <v>-100000</v>
      </c>
      <c r="K60" s="449">
        <f>K61</f>
        <v>-100000</v>
      </c>
    </row>
    <row r="61" spans="2:11" ht="47.25" x14ac:dyDescent="0.25">
      <c r="B61" s="210" t="s">
        <v>212</v>
      </c>
      <c r="C61" s="305"/>
      <c r="D61" s="305"/>
      <c r="E61" s="212" t="s">
        <v>571</v>
      </c>
      <c r="F61" s="306"/>
      <c r="G61" s="307"/>
      <c r="H61" s="449">
        <f>J61+I61</f>
        <v>320000</v>
      </c>
      <c r="I61" s="449">
        <f>SUM(I62:I71)</f>
        <v>420000</v>
      </c>
      <c r="J61" s="449">
        <f>SUM(J62:J71)</f>
        <v>-100000</v>
      </c>
      <c r="K61" s="449">
        <f>SUM(K62:K71)</f>
        <v>-100000</v>
      </c>
    </row>
    <row r="62" spans="2:11" ht="39" hidden="1" customHeight="1" x14ac:dyDescent="0.25">
      <c r="B62" s="140" t="s">
        <v>220</v>
      </c>
      <c r="C62" s="140" t="s">
        <v>221</v>
      </c>
      <c r="D62" s="141" t="s">
        <v>222</v>
      </c>
      <c r="E62" s="171" t="s">
        <v>223</v>
      </c>
      <c r="F62" s="645" t="s">
        <v>572</v>
      </c>
      <c r="G62" s="646" t="s">
        <v>573</v>
      </c>
      <c r="H62" s="316">
        <f t="shared" ref="H62:H71" si="6">I62+J62</f>
        <v>0</v>
      </c>
      <c r="I62" s="313"/>
      <c r="J62" s="217"/>
      <c r="K62" s="217"/>
    </row>
    <row r="63" spans="2:11" ht="63" hidden="1" x14ac:dyDescent="0.25">
      <c r="B63" s="140" t="s">
        <v>275</v>
      </c>
      <c r="C63" s="140" t="s">
        <v>276</v>
      </c>
      <c r="D63" s="185">
        <v>1040</v>
      </c>
      <c r="E63" s="160" t="s">
        <v>277</v>
      </c>
      <c r="F63" s="645"/>
      <c r="G63" s="646"/>
      <c r="H63" s="316">
        <f t="shared" si="6"/>
        <v>0</v>
      </c>
      <c r="I63" s="313"/>
      <c r="J63" s="217"/>
      <c r="K63" s="217"/>
    </row>
    <row r="64" spans="2:11" ht="37.5" hidden="1" customHeight="1" x14ac:dyDescent="0.25">
      <c r="B64" s="140" t="s">
        <v>220</v>
      </c>
      <c r="C64" s="140" t="s">
        <v>221</v>
      </c>
      <c r="D64" s="141" t="s">
        <v>222</v>
      </c>
      <c r="E64" s="171" t="s">
        <v>223</v>
      </c>
      <c r="F64" s="645" t="s">
        <v>574</v>
      </c>
      <c r="G64" s="640" t="s">
        <v>575</v>
      </c>
      <c r="H64" s="316">
        <f t="shared" si="6"/>
        <v>0</v>
      </c>
      <c r="I64" s="172"/>
      <c r="J64" s="315"/>
      <c r="K64" s="315"/>
    </row>
    <row r="65" spans="2:15" ht="33.75" hidden="1" customHeight="1" x14ac:dyDescent="0.25">
      <c r="B65" s="140" t="s">
        <v>247</v>
      </c>
      <c r="C65" s="140" t="s">
        <v>248</v>
      </c>
      <c r="D65" s="141" t="s">
        <v>242</v>
      </c>
      <c r="E65" s="142" t="s">
        <v>249</v>
      </c>
      <c r="F65" s="645"/>
      <c r="G65" s="640"/>
      <c r="H65" s="316">
        <f t="shared" si="6"/>
        <v>0</v>
      </c>
      <c r="I65" s="172"/>
      <c r="J65" s="315"/>
      <c r="K65" s="315"/>
    </row>
    <row r="66" spans="2:15" s="177" customFormat="1" ht="42.75" customHeight="1" x14ac:dyDescent="0.25">
      <c r="B66" s="647" t="s">
        <v>247</v>
      </c>
      <c r="C66" s="650" t="s">
        <v>248</v>
      </c>
      <c r="D66" s="651" t="s">
        <v>242</v>
      </c>
      <c r="E66" s="652" t="s">
        <v>249</v>
      </c>
      <c r="F66" s="574" t="s">
        <v>576</v>
      </c>
      <c r="G66" s="575" t="s">
        <v>577</v>
      </c>
      <c r="H66" s="455">
        <f t="shared" si="6"/>
        <v>420000</v>
      </c>
      <c r="I66" s="450">
        <v>420000</v>
      </c>
      <c r="J66" s="451"/>
      <c r="K66" s="451"/>
      <c r="M66" s="7"/>
    </row>
    <row r="67" spans="2:15" s="177" customFormat="1" ht="58.5" hidden="1" customHeight="1" x14ac:dyDescent="0.25">
      <c r="B67" s="648"/>
      <c r="C67" s="633"/>
      <c r="D67" s="635"/>
      <c r="E67" s="637"/>
      <c r="F67" s="359" t="s">
        <v>578</v>
      </c>
      <c r="G67" s="360" t="s">
        <v>579</v>
      </c>
      <c r="H67" s="316">
        <f>I67+J67</f>
        <v>0</v>
      </c>
      <c r="I67" s="313"/>
      <c r="J67" s="217"/>
      <c r="K67" s="217"/>
      <c r="M67" s="7"/>
    </row>
    <row r="68" spans="2:15" s="177" customFormat="1" ht="82.5" hidden="1" customHeight="1" x14ac:dyDescent="0.25">
      <c r="B68" s="649"/>
      <c r="C68" s="634"/>
      <c r="D68" s="636"/>
      <c r="E68" s="638"/>
      <c r="F68" s="359" t="s">
        <v>580</v>
      </c>
      <c r="G68" s="360" t="s">
        <v>581</v>
      </c>
      <c r="H68" s="316">
        <f>I68+J68</f>
        <v>0</v>
      </c>
      <c r="I68" s="313"/>
      <c r="J68" s="217"/>
      <c r="K68" s="217"/>
      <c r="M68" s="7"/>
    </row>
    <row r="69" spans="2:15" ht="49.5" hidden="1" customHeight="1" x14ac:dyDescent="0.25">
      <c r="B69" s="140" t="s">
        <v>272</v>
      </c>
      <c r="C69" s="140" t="s">
        <v>273</v>
      </c>
      <c r="D69" s="146" t="s">
        <v>173</v>
      </c>
      <c r="E69" s="171" t="s">
        <v>274</v>
      </c>
      <c r="F69" s="160" t="s">
        <v>582</v>
      </c>
      <c r="G69" s="360" t="s">
        <v>583</v>
      </c>
      <c r="H69" s="316">
        <f t="shared" si="6"/>
        <v>0</v>
      </c>
      <c r="I69" s="313"/>
      <c r="J69" s="217"/>
      <c r="K69" s="217"/>
    </row>
    <row r="70" spans="2:15" ht="48" customHeight="1" x14ac:dyDescent="0.25">
      <c r="B70" s="361" t="s">
        <v>290</v>
      </c>
      <c r="C70" s="140" t="s">
        <v>291</v>
      </c>
      <c r="D70" s="146" t="s">
        <v>292</v>
      </c>
      <c r="E70" s="171" t="s">
        <v>584</v>
      </c>
      <c r="F70" s="160" t="s">
        <v>585</v>
      </c>
      <c r="G70" s="312" t="s">
        <v>586</v>
      </c>
      <c r="H70" s="450">
        <f>I70+J70</f>
        <v>-100000</v>
      </c>
      <c r="I70" s="450"/>
      <c r="J70" s="451">
        <v>-100000</v>
      </c>
      <c r="K70" s="451">
        <v>-100000</v>
      </c>
    </row>
    <row r="71" spans="2:15" ht="60.75" hidden="1" customHeight="1" x14ac:dyDescent="0.25">
      <c r="B71" s="361" t="s">
        <v>304</v>
      </c>
      <c r="C71" s="361" t="s">
        <v>305</v>
      </c>
      <c r="D71" s="362" t="s">
        <v>296</v>
      </c>
      <c r="E71" s="359" t="s">
        <v>306</v>
      </c>
      <c r="F71" s="359" t="s">
        <v>587</v>
      </c>
      <c r="G71" s="360" t="s">
        <v>588</v>
      </c>
      <c r="H71" s="316">
        <f t="shared" si="6"/>
        <v>0</v>
      </c>
      <c r="I71" s="313"/>
      <c r="J71" s="217"/>
      <c r="K71" s="217"/>
    </row>
    <row r="72" spans="2:15" ht="47.25" customHeight="1" x14ac:dyDescent="0.25">
      <c r="B72" s="210" t="s">
        <v>307</v>
      </c>
      <c r="C72" s="210" t="s">
        <v>308</v>
      </c>
      <c r="D72" s="305"/>
      <c r="E72" s="212" t="s">
        <v>309</v>
      </c>
      <c r="F72" s="306"/>
      <c r="G72" s="307"/>
      <c r="H72" s="449">
        <f>H73</f>
        <v>-6984277</v>
      </c>
      <c r="I72" s="449">
        <f>I73</f>
        <v>-6984277</v>
      </c>
      <c r="J72" s="449">
        <f>J73</f>
        <v>0</v>
      </c>
      <c r="K72" s="449">
        <f>K73</f>
        <v>0</v>
      </c>
    </row>
    <row r="73" spans="2:15" ht="54" customHeight="1" x14ac:dyDescent="0.25">
      <c r="B73" s="210" t="s">
        <v>310</v>
      </c>
      <c r="C73" s="210"/>
      <c r="D73" s="305"/>
      <c r="E73" s="212" t="s">
        <v>589</v>
      </c>
      <c r="F73" s="306"/>
      <c r="G73" s="307"/>
      <c r="H73" s="449">
        <f>J73+I73</f>
        <v>-6984277</v>
      </c>
      <c r="I73" s="449">
        <f>SUM(I74:I82)</f>
        <v>-6984277</v>
      </c>
      <c r="J73" s="449">
        <f>SUM(J74:J82)</f>
        <v>0</v>
      </c>
      <c r="K73" s="449">
        <f>SUM(K74:K82)</f>
        <v>0</v>
      </c>
    </row>
    <row r="74" spans="2:15" ht="47.25" hidden="1" x14ac:dyDescent="0.25">
      <c r="B74" s="140" t="s">
        <v>313</v>
      </c>
      <c r="C74" s="140" t="s">
        <v>151</v>
      </c>
      <c r="D74" s="141" t="s">
        <v>152</v>
      </c>
      <c r="E74" s="142" t="s">
        <v>153</v>
      </c>
      <c r="F74" s="160" t="s">
        <v>590</v>
      </c>
      <c r="G74" s="312" t="s">
        <v>591</v>
      </c>
      <c r="H74" s="321">
        <f t="shared" ref="H74:H82" si="7">I74</f>
        <v>0</v>
      </c>
      <c r="I74" s="143"/>
      <c r="J74" s="313"/>
      <c r="K74" s="313"/>
      <c r="L74" s="363"/>
      <c r="M74" s="364"/>
      <c r="N74" s="364"/>
      <c r="O74" s="364"/>
    </row>
    <row r="75" spans="2:15" ht="45.75" hidden="1" customHeight="1" x14ac:dyDescent="0.25">
      <c r="B75" s="140" t="s">
        <v>331</v>
      </c>
      <c r="C75" s="140" t="s">
        <v>332</v>
      </c>
      <c r="D75" s="141" t="s">
        <v>234</v>
      </c>
      <c r="E75" s="142" t="s">
        <v>333</v>
      </c>
      <c r="F75" s="653" t="s">
        <v>592</v>
      </c>
      <c r="G75" s="655" t="s">
        <v>593</v>
      </c>
      <c r="H75" s="321">
        <f t="shared" si="7"/>
        <v>0</v>
      </c>
      <c r="I75" s="143"/>
      <c r="J75" s="313"/>
      <c r="K75" s="313"/>
      <c r="L75" s="365"/>
      <c r="M75" s="366"/>
      <c r="N75" s="366"/>
      <c r="O75" s="366"/>
    </row>
    <row r="76" spans="2:15" s="367" customFormat="1" ht="59.25" hidden="1" customHeight="1" x14ac:dyDescent="0.25">
      <c r="B76" s="140" t="s">
        <v>334</v>
      </c>
      <c r="C76" s="146" t="s">
        <v>180</v>
      </c>
      <c r="D76" s="146" t="s">
        <v>335</v>
      </c>
      <c r="E76" s="160" t="s">
        <v>182</v>
      </c>
      <c r="F76" s="654"/>
      <c r="G76" s="656"/>
      <c r="H76" s="321">
        <f t="shared" si="7"/>
        <v>0</v>
      </c>
      <c r="I76" s="313"/>
      <c r="J76" s="318"/>
      <c r="K76" s="318"/>
    </row>
    <row r="77" spans="2:15" s="367" customFormat="1" ht="63" x14ac:dyDescent="0.25">
      <c r="B77" s="140" t="s">
        <v>334</v>
      </c>
      <c r="C77" s="146" t="s">
        <v>180</v>
      </c>
      <c r="D77" s="146" t="s">
        <v>335</v>
      </c>
      <c r="E77" s="160" t="s">
        <v>182</v>
      </c>
      <c r="F77" s="368" t="s">
        <v>718</v>
      </c>
      <c r="G77" s="369" t="s">
        <v>594</v>
      </c>
      <c r="H77" s="450">
        <f t="shared" si="7"/>
        <v>-6984277</v>
      </c>
      <c r="I77" s="458">
        <f>-7000000+15723</f>
        <v>-6984277</v>
      </c>
      <c r="J77" s="451"/>
      <c r="K77" s="451"/>
    </row>
    <row r="78" spans="2:15" s="367" customFormat="1" ht="44.25" hidden="1" customHeight="1" x14ac:dyDescent="0.25">
      <c r="B78" s="140" t="s">
        <v>330</v>
      </c>
      <c r="C78" s="140" t="s">
        <v>176</v>
      </c>
      <c r="D78" s="146" t="s">
        <v>177</v>
      </c>
      <c r="E78" s="160" t="s">
        <v>178</v>
      </c>
      <c r="F78" s="311" t="s">
        <v>514</v>
      </c>
      <c r="G78" s="312" t="s">
        <v>595</v>
      </c>
      <c r="H78" s="321">
        <f t="shared" si="7"/>
        <v>0</v>
      </c>
      <c r="I78" s="313"/>
      <c r="J78" s="318"/>
      <c r="K78" s="318"/>
    </row>
    <row r="79" spans="2:15" ht="51" hidden="1" customHeight="1" x14ac:dyDescent="0.25">
      <c r="B79" s="140" t="s">
        <v>330</v>
      </c>
      <c r="C79" s="140" t="s">
        <v>176</v>
      </c>
      <c r="D79" s="146" t="s">
        <v>177</v>
      </c>
      <c r="E79" s="160" t="s">
        <v>178</v>
      </c>
      <c r="F79" s="311" t="s">
        <v>516</v>
      </c>
      <c r="G79" s="370"/>
      <c r="H79" s="321">
        <f t="shared" si="7"/>
        <v>0</v>
      </c>
      <c r="I79" s="317"/>
      <c r="J79" s="318"/>
      <c r="K79" s="318"/>
    </row>
    <row r="80" spans="2:15" ht="39.75" hidden="1" customHeight="1" x14ac:dyDescent="0.25">
      <c r="B80" s="140" t="s">
        <v>314</v>
      </c>
      <c r="C80" s="140" t="s">
        <v>315</v>
      </c>
      <c r="D80" s="141" t="s">
        <v>234</v>
      </c>
      <c r="E80" s="154" t="s">
        <v>316</v>
      </c>
      <c r="F80" s="645" t="s">
        <v>596</v>
      </c>
      <c r="G80" s="657" t="s">
        <v>597</v>
      </c>
      <c r="H80" s="321">
        <f t="shared" si="7"/>
        <v>0</v>
      </c>
      <c r="I80" s="317"/>
      <c r="J80" s="318"/>
      <c r="K80" s="318"/>
    </row>
    <row r="81" spans="2:13" ht="85.5" hidden="1" customHeight="1" x14ac:dyDescent="0.25">
      <c r="B81" s="140" t="s">
        <v>317</v>
      </c>
      <c r="C81" s="140" t="s">
        <v>318</v>
      </c>
      <c r="D81" s="146" t="s">
        <v>234</v>
      </c>
      <c r="E81" s="171" t="s">
        <v>319</v>
      </c>
      <c r="F81" s="645"/>
      <c r="G81" s="657"/>
      <c r="H81" s="321">
        <f t="shared" si="7"/>
        <v>0</v>
      </c>
      <c r="I81" s="313"/>
      <c r="J81" s="318"/>
      <c r="K81" s="318"/>
    </row>
    <row r="82" spans="2:13" ht="52.5" hidden="1" customHeight="1" x14ac:dyDescent="0.25">
      <c r="B82" s="140" t="s">
        <v>320</v>
      </c>
      <c r="C82" s="140" t="s">
        <v>321</v>
      </c>
      <c r="D82" s="146" t="s">
        <v>234</v>
      </c>
      <c r="E82" s="171" t="s">
        <v>322</v>
      </c>
      <c r="F82" s="645"/>
      <c r="G82" s="657"/>
      <c r="H82" s="321">
        <f t="shared" si="7"/>
        <v>0</v>
      </c>
      <c r="I82" s="317"/>
      <c r="J82" s="318"/>
      <c r="K82" s="318"/>
    </row>
    <row r="83" spans="2:13" s="214" customFormat="1" ht="31.5" x14ac:dyDescent="0.25">
      <c r="B83" s="210" t="s">
        <v>337</v>
      </c>
      <c r="C83" s="210" t="s">
        <v>338</v>
      </c>
      <c r="D83" s="305"/>
      <c r="E83" s="212" t="s">
        <v>339</v>
      </c>
      <c r="F83" s="306"/>
      <c r="G83" s="307"/>
      <c r="H83" s="449">
        <f>J83+I83</f>
        <v>48744294</v>
      </c>
      <c r="I83" s="449">
        <f>I84</f>
        <v>34524294</v>
      </c>
      <c r="J83" s="454">
        <f>J84</f>
        <v>14220000</v>
      </c>
      <c r="K83" s="454">
        <f>K84</f>
        <v>14220000</v>
      </c>
      <c r="M83" s="371">
        <f>J83-K83</f>
        <v>0</v>
      </c>
    </row>
    <row r="84" spans="2:13" s="214" customFormat="1" ht="50.25" customHeight="1" x14ac:dyDescent="0.25">
      <c r="B84" s="210" t="s">
        <v>340</v>
      </c>
      <c r="C84" s="210"/>
      <c r="D84" s="305"/>
      <c r="E84" s="212" t="s">
        <v>598</v>
      </c>
      <c r="F84" s="306"/>
      <c r="G84" s="372"/>
      <c r="H84" s="449">
        <f>J84+I84</f>
        <v>48744294</v>
      </c>
      <c r="I84" s="449">
        <f>SUM(I85:I109)</f>
        <v>34524294</v>
      </c>
      <c r="J84" s="449">
        <f>SUM(J85:J108)</f>
        <v>14220000</v>
      </c>
      <c r="K84" s="449">
        <f>SUM(K85:K108)</f>
        <v>14220000</v>
      </c>
      <c r="M84" s="371">
        <f>J84-K84</f>
        <v>0</v>
      </c>
    </row>
    <row r="85" spans="2:13" ht="37.5" hidden="1" customHeight="1" x14ac:dyDescent="0.25">
      <c r="B85" s="633" t="s">
        <v>344</v>
      </c>
      <c r="C85" s="633" t="s">
        <v>176</v>
      </c>
      <c r="D85" s="635" t="s">
        <v>177</v>
      </c>
      <c r="E85" s="637" t="s">
        <v>178</v>
      </c>
      <c r="F85" s="311" t="s">
        <v>516</v>
      </c>
      <c r="G85" s="372"/>
      <c r="H85" s="321">
        <f>I85+J85</f>
        <v>0</v>
      </c>
      <c r="I85" s="317"/>
      <c r="J85" s="318"/>
      <c r="K85" s="318"/>
      <c r="M85" s="75" t="e">
        <f>#REF!+H93+#REF!+H100</f>
        <v>#REF!</v>
      </c>
    </row>
    <row r="86" spans="2:13" ht="57" hidden="1" customHeight="1" x14ac:dyDescent="0.25">
      <c r="B86" s="633"/>
      <c r="C86" s="633"/>
      <c r="D86" s="635"/>
      <c r="E86" s="637"/>
      <c r="F86" s="311" t="s">
        <v>599</v>
      </c>
      <c r="G86" s="372"/>
      <c r="H86" s="321">
        <f>I86</f>
        <v>0</v>
      </c>
      <c r="I86" s="313"/>
      <c r="J86" s="318"/>
      <c r="K86" s="318"/>
      <c r="M86" s="75"/>
    </row>
    <row r="87" spans="2:13" ht="71.25" hidden="1" customHeight="1" x14ac:dyDescent="0.25">
      <c r="B87" s="633"/>
      <c r="C87" s="633"/>
      <c r="D87" s="635"/>
      <c r="E87" s="637"/>
      <c r="F87" s="359" t="s">
        <v>600</v>
      </c>
      <c r="G87" s="312" t="s">
        <v>601</v>
      </c>
      <c r="H87" s="321">
        <f>I87+J87</f>
        <v>0</v>
      </c>
      <c r="I87" s="317"/>
      <c r="J87" s="318"/>
      <c r="K87" s="318"/>
    </row>
    <row r="88" spans="2:13" s="177" customFormat="1" ht="81" customHeight="1" x14ac:dyDescent="0.25">
      <c r="B88" s="140" t="s">
        <v>345</v>
      </c>
      <c r="C88" s="140" t="s">
        <v>346</v>
      </c>
      <c r="D88" s="155" t="s">
        <v>347</v>
      </c>
      <c r="E88" s="154" t="s">
        <v>348</v>
      </c>
      <c r="F88" s="662" t="s">
        <v>602</v>
      </c>
      <c r="G88" s="664" t="s">
        <v>603</v>
      </c>
      <c r="H88" s="450">
        <f>I88+J88</f>
        <v>7303056</v>
      </c>
      <c r="I88" s="450">
        <f>-1530000+6000000+2833056</f>
        <v>7303056</v>
      </c>
      <c r="J88" s="451"/>
      <c r="K88" s="451"/>
    </row>
    <row r="89" spans="2:13" s="177" customFormat="1" ht="81" customHeight="1" x14ac:dyDescent="0.25">
      <c r="B89" s="140" t="s">
        <v>390</v>
      </c>
      <c r="C89" s="140" t="s">
        <v>391</v>
      </c>
      <c r="D89" s="141" t="s">
        <v>185</v>
      </c>
      <c r="E89" s="196" t="s">
        <v>392</v>
      </c>
      <c r="F89" s="663"/>
      <c r="G89" s="665"/>
      <c r="H89" s="450">
        <f>I89+J89</f>
        <v>22500000</v>
      </c>
      <c r="I89" s="450"/>
      <c r="J89" s="451">
        <v>22500000</v>
      </c>
      <c r="K89" s="451">
        <v>22500000</v>
      </c>
    </row>
    <row r="90" spans="2:13" ht="71.25" hidden="1" customHeight="1" x14ac:dyDescent="0.25">
      <c r="B90" s="140" t="s">
        <v>355</v>
      </c>
      <c r="C90" s="140" t="s">
        <v>356</v>
      </c>
      <c r="D90" s="146" t="s">
        <v>347</v>
      </c>
      <c r="E90" s="160" t="s">
        <v>357</v>
      </c>
      <c r="F90" s="160" t="s">
        <v>604</v>
      </c>
      <c r="G90" s="312" t="s">
        <v>605</v>
      </c>
      <c r="H90" s="321">
        <f>I90+J90</f>
        <v>0</v>
      </c>
      <c r="I90" s="317"/>
      <c r="J90" s="318"/>
      <c r="K90" s="318"/>
    </row>
    <row r="91" spans="2:13" ht="36.75" customHeight="1" x14ac:dyDescent="0.25">
      <c r="B91" s="140" t="s">
        <v>355</v>
      </c>
      <c r="C91" s="140" t="s">
        <v>356</v>
      </c>
      <c r="D91" s="146" t="s">
        <v>347</v>
      </c>
      <c r="E91" s="160" t="s">
        <v>357</v>
      </c>
      <c r="F91" s="666" t="s">
        <v>606</v>
      </c>
      <c r="G91" s="643" t="s">
        <v>607</v>
      </c>
      <c r="H91" s="450">
        <f t="shared" ref="H91:H118" si="8">I91+J91</f>
        <v>13236644</v>
      </c>
      <c r="I91" s="450">
        <f>2736644+10500000</f>
        <v>13236644</v>
      </c>
      <c r="J91" s="451"/>
      <c r="K91" s="451"/>
    </row>
    <row r="92" spans="2:13" ht="78" customHeight="1" x14ac:dyDescent="0.25">
      <c r="B92" s="136" t="s">
        <v>379</v>
      </c>
      <c r="C92" s="136" t="s">
        <v>380</v>
      </c>
      <c r="D92" s="191" t="s">
        <v>381</v>
      </c>
      <c r="E92" s="186" t="s">
        <v>382</v>
      </c>
      <c r="F92" s="667"/>
      <c r="G92" s="668"/>
      <c r="H92" s="450">
        <f t="shared" si="8"/>
        <v>12543356</v>
      </c>
      <c r="I92" s="450">
        <f>20263356-7720000</f>
        <v>12543356</v>
      </c>
      <c r="J92" s="451"/>
      <c r="K92" s="451"/>
    </row>
    <row r="93" spans="2:13" ht="35.25" customHeight="1" x14ac:dyDescent="0.25">
      <c r="B93" s="140" t="s">
        <v>390</v>
      </c>
      <c r="C93" s="140" t="s">
        <v>391</v>
      </c>
      <c r="D93" s="141" t="s">
        <v>185</v>
      </c>
      <c r="E93" s="196" t="s">
        <v>392</v>
      </c>
      <c r="F93" s="373"/>
      <c r="G93" s="374"/>
      <c r="H93" s="450">
        <f>I93+J93</f>
        <v>-1330000</v>
      </c>
      <c r="I93" s="450"/>
      <c r="J93" s="451">
        <v>-1330000</v>
      </c>
      <c r="K93" s="451">
        <v>-1330000</v>
      </c>
    </row>
    <row r="94" spans="2:13" s="177" customFormat="1" ht="99.75" customHeight="1" x14ac:dyDescent="0.25">
      <c r="B94" s="140" t="s">
        <v>358</v>
      </c>
      <c r="C94" s="140" t="s">
        <v>359</v>
      </c>
      <c r="D94" s="146" t="s">
        <v>360</v>
      </c>
      <c r="E94" s="160" t="s">
        <v>361</v>
      </c>
      <c r="F94" s="359" t="s">
        <v>608</v>
      </c>
      <c r="G94" s="312" t="s">
        <v>609</v>
      </c>
      <c r="H94" s="450">
        <f t="shared" si="8"/>
        <v>-55387</v>
      </c>
      <c r="I94" s="450">
        <f>-45387-10000</f>
        <v>-55387</v>
      </c>
      <c r="J94" s="451"/>
      <c r="K94" s="451"/>
    </row>
    <row r="95" spans="2:13" s="177" customFormat="1" ht="41.25" customHeight="1" x14ac:dyDescent="0.25">
      <c r="B95" s="140" t="s">
        <v>362</v>
      </c>
      <c r="C95" s="140" t="s">
        <v>363</v>
      </c>
      <c r="D95" s="146" t="s">
        <v>360</v>
      </c>
      <c r="E95" s="160" t="s">
        <v>364</v>
      </c>
      <c r="F95" s="359" t="s">
        <v>610</v>
      </c>
      <c r="G95" s="312" t="s">
        <v>611</v>
      </c>
      <c r="H95" s="450">
        <f>I95+J95</f>
        <v>-4000000</v>
      </c>
      <c r="I95" s="450"/>
      <c r="J95" s="455">
        <v>-4000000</v>
      </c>
      <c r="K95" s="455">
        <v>-4000000</v>
      </c>
    </row>
    <row r="96" spans="2:13" ht="58.5" customHeight="1" x14ac:dyDescent="0.25">
      <c r="B96" s="140" t="s">
        <v>362</v>
      </c>
      <c r="C96" s="140" t="s">
        <v>363</v>
      </c>
      <c r="D96" s="146" t="s">
        <v>360</v>
      </c>
      <c r="E96" s="160" t="s">
        <v>364</v>
      </c>
      <c r="F96" s="360" t="s">
        <v>612</v>
      </c>
      <c r="G96" s="312" t="s">
        <v>715</v>
      </c>
      <c r="H96" s="450">
        <f t="shared" si="8"/>
        <v>-1737562</v>
      </c>
      <c r="I96" s="450">
        <f>-1500000-237562</f>
        <v>-1737562</v>
      </c>
      <c r="J96" s="451"/>
      <c r="K96" s="451"/>
      <c r="M96" s="75"/>
    </row>
    <row r="97" spans="1:13" ht="63" hidden="1" x14ac:dyDescent="0.25">
      <c r="B97" s="140" t="s">
        <v>362</v>
      </c>
      <c r="C97" s="140" t="s">
        <v>363</v>
      </c>
      <c r="D97" s="146" t="s">
        <v>360</v>
      </c>
      <c r="E97" s="160" t="s">
        <v>364</v>
      </c>
      <c r="F97" s="360" t="s">
        <v>613</v>
      </c>
      <c r="G97" s="312" t="s">
        <v>614</v>
      </c>
      <c r="H97" s="321">
        <f t="shared" si="8"/>
        <v>0</v>
      </c>
      <c r="I97" s="313"/>
      <c r="J97" s="217"/>
      <c r="K97" s="217"/>
      <c r="M97" s="75"/>
    </row>
    <row r="98" spans="1:13" ht="52.5" customHeight="1" x14ac:dyDescent="0.25">
      <c r="B98" s="140" t="s">
        <v>362</v>
      </c>
      <c r="C98" s="140" t="s">
        <v>363</v>
      </c>
      <c r="D98" s="146" t="s">
        <v>360</v>
      </c>
      <c r="E98" s="160" t="s">
        <v>364</v>
      </c>
      <c r="F98" s="360" t="s">
        <v>615</v>
      </c>
      <c r="G98" s="312" t="s">
        <v>616</v>
      </c>
      <c r="H98" s="450">
        <f t="shared" si="8"/>
        <v>4000000</v>
      </c>
      <c r="I98" s="450">
        <v>4000000</v>
      </c>
      <c r="J98" s="451"/>
      <c r="K98" s="451"/>
      <c r="M98" s="75"/>
    </row>
    <row r="99" spans="1:13" ht="47.25" hidden="1" x14ac:dyDescent="0.25">
      <c r="B99" s="140" t="s">
        <v>376</v>
      </c>
      <c r="C99" s="146" t="s">
        <v>377</v>
      </c>
      <c r="D99" s="146" t="s">
        <v>371</v>
      </c>
      <c r="E99" s="171" t="s">
        <v>378</v>
      </c>
      <c r="F99" s="360" t="s">
        <v>617</v>
      </c>
      <c r="G99" s="312" t="s">
        <v>618</v>
      </c>
      <c r="H99" s="321">
        <f t="shared" si="8"/>
        <v>0</v>
      </c>
      <c r="I99" s="313"/>
      <c r="J99" s="217"/>
      <c r="K99" s="217"/>
      <c r="M99" s="75"/>
    </row>
    <row r="100" spans="1:13" s="177" customFormat="1" ht="66.75" hidden="1" customHeight="1" x14ac:dyDescent="0.25">
      <c r="B100" s="140" t="s">
        <v>389</v>
      </c>
      <c r="C100" s="140" t="s">
        <v>198</v>
      </c>
      <c r="D100" s="146" t="s">
        <v>185</v>
      </c>
      <c r="E100" s="375" t="s">
        <v>199</v>
      </c>
      <c r="F100" s="359" t="s">
        <v>619</v>
      </c>
      <c r="G100" s="312" t="s">
        <v>620</v>
      </c>
      <c r="H100" s="321">
        <f t="shared" si="8"/>
        <v>0</v>
      </c>
      <c r="I100" s="313"/>
      <c r="J100" s="217"/>
      <c r="K100" s="217"/>
      <c r="M100" s="7"/>
    </row>
    <row r="101" spans="1:13" s="177" customFormat="1" ht="66.75" hidden="1" customHeight="1" x14ac:dyDescent="0.25">
      <c r="B101" s="140" t="s">
        <v>393</v>
      </c>
      <c r="C101" s="140">
        <v>8110</v>
      </c>
      <c r="D101" s="146" t="s">
        <v>202</v>
      </c>
      <c r="E101" s="375" t="s">
        <v>203</v>
      </c>
      <c r="F101" s="160" t="s">
        <v>528</v>
      </c>
      <c r="G101" s="312" t="s">
        <v>529</v>
      </c>
      <c r="H101" s="321">
        <f t="shared" si="8"/>
        <v>0</v>
      </c>
      <c r="I101" s="313"/>
      <c r="J101" s="217"/>
      <c r="K101" s="217"/>
      <c r="M101" s="7"/>
    </row>
    <row r="102" spans="1:13" s="367" customFormat="1" ht="54" customHeight="1" x14ac:dyDescent="0.25">
      <c r="B102" s="140" t="s">
        <v>393</v>
      </c>
      <c r="C102" s="165">
        <v>8110</v>
      </c>
      <c r="D102" s="146" t="s">
        <v>202</v>
      </c>
      <c r="E102" s="166" t="s">
        <v>203</v>
      </c>
      <c r="F102" s="160" t="s">
        <v>526</v>
      </c>
      <c r="G102" s="312" t="s">
        <v>822</v>
      </c>
      <c r="H102" s="459">
        <f>I102+J102</f>
        <v>467562</v>
      </c>
      <c r="I102" s="317">
        <f>230000+237562</f>
        <v>467562</v>
      </c>
      <c r="J102" s="318"/>
      <c r="K102" s="318"/>
    </row>
    <row r="103" spans="1:13" ht="63" hidden="1" customHeight="1" x14ac:dyDescent="0.25">
      <c r="A103" s="376"/>
      <c r="B103" s="140" t="s">
        <v>397</v>
      </c>
      <c r="C103" s="140" t="s">
        <v>398</v>
      </c>
      <c r="D103" s="146" t="s">
        <v>399</v>
      </c>
      <c r="E103" s="160" t="s">
        <v>400</v>
      </c>
      <c r="F103" s="160" t="s">
        <v>621</v>
      </c>
      <c r="G103" s="312" t="s">
        <v>622</v>
      </c>
      <c r="H103" s="321">
        <f t="shared" si="8"/>
        <v>0</v>
      </c>
      <c r="I103" s="317"/>
      <c r="J103" s="318"/>
      <c r="K103" s="318"/>
    </row>
    <row r="104" spans="1:13" s="367" customFormat="1" ht="26.25" customHeight="1" x14ac:dyDescent="0.25">
      <c r="B104" s="140" t="s">
        <v>343</v>
      </c>
      <c r="C104" s="140" t="s">
        <v>151</v>
      </c>
      <c r="D104" s="146" t="s">
        <v>152</v>
      </c>
      <c r="E104" s="171" t="s">
        <v>153</v>
      </c>
      <c r="F104" s="637" t="s">
        <v>617</v>
      </c>
      <c r="G104" s="669" t="s">
        <v>623</v>
      </c>
      <c r="H104" s="456">
        <f t="shared" si="8"/>
        <v>-340000</v>
      </c>
      <c r="I104" s="450">
        <f>-120000-220000</f>
        <v>-340000</v>
      </c>
      <c r="J104" s="451"/>
      <c r="K104" s="451"/>
    </row>
    <row r="105" spans="1:13" s="367" customFormat="1" ht="30" customHeight="1" x14ac:dyDescent="0.25">
      <c r="B105" s="140" t="s">
        <v>365</v>
      </c>
      <c r="C105" s="146" t="s">
        <v>366</v>
      </c>
      <c r="D105" s="146" t="s">
        <v>367</v>
      </c>
      <c r="E105" s="171" t="s">
        <v>668</v>
      </c>
      <c r="F105" s="637"/>
      <c r="G105" s="669"/>
      <c r="H105" s="456">
        <f t="shared" si="8"/>
        <v>-893375</v>
      </c>
      <c r="I105" s="450">
        <v>-893375</v>
      </c>
      <c r="J105" s="451"/>
      <c r="K105" s="451"/>
    </row>
    <row r="106" spans="1:13" s="367" customFormat="1" ht="40.5" customHeight="1" x14ac:dyDescent="0.25">
      <c r="B106" s="140" t="s">
        <v>376</v>
      </c>
      <c r="C106" s="146" t="s">
        <v>377</v>
      </c>
      <c r="D106" s="146" t="s">
        <v>371</v>
      </c>
      <c r="E106" s="171" t="s">
        <v>378</v>
      </c>
      <c r="F106" s="637"/>
      <c r="G106" s="669"/>
      <c r="H106" s="456">
        <f t="shared" si="8"/>
        <v>-450000</v>
      </c>
      <c r="I106" s="452"/>
      <c r="J106" s="451">
        <v>-450000</v>
      </c>
      <c r="K106" s="451">
        <v>-450000</v>
      </c>
      <c r="M106" s="7"/>
    </row>
    <row r="107" spans="1:13" s="367" customFormat="1" ht="40.5" customHeight="1" x14ac:dyDescent="0.25">
      <c r="B107" s="140" t="s">
        <v>624</v>
      </c>
      <c r="C107" s="146" t="s">
        <v>625</v>
      </c>
      <c r="D107" s="146" t="s">
        <v>371</v>
      </c>
      <c r="E107" s="171" t="s">
        <v>626</v>
      </c>
      <c r="F107" s="637"/>
      <c r="G107" s="669"/>
      <c r="H107" s="456">
        <f t="shared" si="8"/>
        <v>-2400000</v>
      </c>
      <c r="I107" s="452"/>
      <c r="J107" s="451">
        <v>-2400000</v>
      </c>
      <c r="K107" s="451">
        <v>-2400000</v>
      </c>
      <c r="M107" s="7"/>
    </row>
    <row r="108" spans="1:13" s="367" customFormat="1" ht="33" customHeight="1" x14ac:dyDescent="0.25">
      <c r="B108" s="140" t="s">
        <v>386</v>
      </c>
      <c r="C108" s="146" t="s">
        <v>387</v>
      </c>
      <c r="D108" s="146" t="s">
        <v>185</v>
      </c>
      <c r="E108" s="311" t="s">
        <v>627</v>
      </c>
      <c r="F108" s="637"/>
      <c r="G108" s="669"/>
      <c r="H108" s="456">
        <f t="shared" si="8"/>
        <v>-100000</v>
      </c>
      <c r="I108" s="452"/>
      <c r="J108" s="451">
        <v>-100000</v>
      </c>
      <c r="K108" s="451">
        <v>-100000</v>
      </c>
    </row>
    <row r="109" spans="1:13" s="367" customFormat="1" ht="69" hidden="1" customHeight="1" x14ac:dyDescent="0.25">
      <c r="B109" s="140" t="s">
        <v>379</v>
      </c>
      <c r="C109" s="146" t="s">
        <v>380</v>
      </c>
      <c r="D109" s="146" t="s">
        <v>381</v>
      </c>
      <c r="E109" s="311" t="s">
        <v>382</v>
      </c>
      <c r="F109" s="171" t="s">
        <v>628</v>
      </c>
      <c r="G109" s="379" t="s">
        <v>821</v>
      </c>
      <c r="H109" s="377">
        <f t="shared" si="8"/>
        <v>0</v>
      </c>
      <c r="I109" s="317"/>
      <c r="J109" s="318"/>
      <c r="K109" s="318"/>
    </row>
    <row r="110" spans="1:13" s="367" customFormat="1" ht="42.75" customHeight="1" x14ac:dyDescent="0.25">
      <c r="B110" s="210" t="s">
        <v>402</v>
      </c>
      <c r="C110" s="210" t="s">
        <v>403</v>
      </c>
      <c r="D110" s="211"/>
      <c r="E110" s="380" t="s">
        <v>404</v>
      </c>
      <c r="F110" s="212"/>
      <c r="G110" s="381"/>
      <c r="H110" s="562">
        <f t="shared" si="8"/>
        <v>-4000000</v>
      </c>
      <c r="I110" s="364">
        <f>I111</f>
        <v>0</v>
      </c>
      <c r="J110" s="364">
        <f>J111</f>
        <v>-4000000</v>
      </c>
      <c r="K110" s="364">
        <f>K111</f>
        <v>-4000000</v>
      </c>
    </row>
    <row r="111" spans="1:13" s="367" customFormat="1" ht="54.75" customHeight="1" x14ac:dyDescent="0.25">
      <c r="B111" s="210" t="s">
        <v>405</v>
      </c>
      <c r="C111" s="210"/>
      <c r="D111" s="211"/>
      <c r="E111" s="380" t="s">
        <v>406</v>
      </c>
      <c r="F111" s="212"/>
      <c r="G111" s="381"/>
      <c r="H111" s="562">
        <f t="shared" si="8"/>
        <v>-4000000</v>
      </c>
      <c r="I111" s="364">
        <f>SUM(I112:I118)</f>
        <v>0</v>
      </c>
      <c r="J111" s="364">
        <f>SUM(J112:J118)</f>
        <v>-4000000</v>
      </c>
      <c r="K111" s="364">
        <f>SUM(K112:K118)</f>
        <v>-4000000</v>
      </c>
    </row>
    <row r="112" spans="1:13" s="367" customFormat="1" ht="54.75" hidden="1" customHeight="1" x14ac:dyDescent="0.25">
      <c r="B112" s="140" t="s">
        <v>629</v>
      </c>
      <c r="C112" s="140" t="s">
        <v>217</v>
      </c>
      <c r="D112" s="141" t="s">
        <v>218</v>
      </c>
      <c r="E112" s="171" t="s">
        <v>219</v>
      </c>
      <c r="F112" s="658" t="s">
        <v>630</v>
      </c>
      <c r="G112" s="661" t="s">
        <v>631</v>
      </c>
      <c r="H112" s="377">
        <f t="shared" si="8"/>
        <v>0</v>
      </c>
      <c r="I112" s="378"/>
      <c r="J112" s="318"/>
      <c r="K112" s="318"/>
    </row>
    <row r="113" spans="2:17" s="367" customFormat="1" ht="57" hidden="1" customHeight="1" x14ac:dyDescent="0.25">
      <c r="B113" s="140" t="s">
        <v>408</v>
      </c>
      <c r="C113" s="140" t="s">
        <v>221</v>
      </c>
      <c r="D113" s="141" t="s">
        <v>222</v>
      </c>
      <c r="E113" s="171" t="s">
        <v>223</v>
      </c>
      <c r="F113" s="659"/>
      <c r="G113" s="661"/>
      <c r="H113" s="377">
        <f t="shared" si="8"/>
        <v>0</v>
      </c>
      <c r="I113" s="329"/>
      <c r="J113" s="315"/>
      <c r="K113" s="315"/>
    </row>
    <row r="114" spans="2:17" s="367" customFormat="1" ht="54.75" hidden="1" customHeight="1" x14ac:dyDescent="0.25">
      <c r="B114" s="140" t="s">
        <v>632</v>
      </c>
      <c r="C114" s="140" t="s">
        <v>238</v>
      </c>
      <c r="D114" s="141" t="s">
        <v>235</v>
      </c>
      <c r="E114" s="142" t="s">
        <v>633</v>
      </c>
      <c r="F114" s="659"/>
      <c r="G114" s="661"/>
      <c r="H114" s="377">
        <f t="shared" si="8"/>
        <v>0</v>
      </c>
      <c r="I114" s="329"/>
      <c r="J114" s="315"/>
      <c r="K114" s="315"/>
    </row>
    <row r="115" spans="2:17" s="367" customFormat="1" ht="54.75" hidden="1" customHeight="1" x14ac:dyDescent="0.25">
      <c r="B115" s="140" t="s">
        <v>409</v>
      </c>
      <c r="C115" s="140" t="s">
        <v>160</v>
      </c>
      <c r="D115" s="146" t="s">
        <v>161</v>
      </c>
      <c r="E115" s="154" t="s">
        <v>162</v>
      </c>
      <c r="F115" s="659"/>
      <c r="G115" s="661"/>
      <c r="H115" s="377">
        <f t="shared" si="8"/>
        <v>0</v>
      </c>
      <c r="I115" s="337"/>
      <c r="J115" s="217"/>
      <c r="K115" s="217"/>
    </row>
    <row r="116" spans="2:17" s="367" customFormat="1" ht="60" hidden="1" customHeight="1" x14ac:dyDescent="0.25">
      <c r="B116" s="140" t="s">
        <v>634</v>
      </c>
      <c r="C116" s="140" t="s">
        <v>287</v>
      </c>
      <c r="D116" s="141" t="s">
        <v>288</v>
      </c>
      <c r="E116" s="142" t="s">
        <v>289</v>
      </c>
      <c r="F116" s="659"/>
      <c r="G116" s="661"/>
      <c r="H116" s="377">
        <f t="shared" si="8"/>
        <v>0</v>
      </c>
      <c r="I116" s="378"/>
      <c r="J116" s="318"/>
      <c r="K116" s="318"/>
    </row>
    <row r="117" spans="2:17" s="367" customFormat="1" ht="58.5" hidden="1" customHeight="1" x14ac:dyDescent="0.25">
      <c r="B117" s="140" t="s">
        <v>412</v>
      </c>
      <c r="C117" s="140" t="s">
        <v>356</v>
      </c>
      <c r="D117" s="141" t="s">
        <v>347</v>
      </c>
      <c r="E117" s="159" t="s">
        <v>357</v>
      </c>
      <c r="F117" s="659"/>
      <c r="G117" s="661"/>
      <c r="H117" s="377">
        <f t="shared" si="8"/>
        <v>0</v>
      </c>
      <c r="I117" s="329"/>
      <c r="J117" s="315"/>
      <c r="K117" s="315"/>
    </row>
    <row r="118" spans="2:17" s="367" customFormat="1" ht="55.5" customHeight="1" x14ac:dyDescent="0.25">
      <c r="B118" s="140" t="s">
        <v>434</v>
      </c>
      <c r="C118" s="140" t="s">
        <v>380</v>
      </c>
      <c r="D118" s="141" t="s">
        <v>381</v>
      </c>
      <c r="E118" s="171" t="s">
        <v>382</v>
      </c>
      <c r="F118" s="660"/>
      <c r="G118" s="661"/>
      <c r="H118" s="459">
        <f t="shared" si="8"/>
        <v>-4000000</v>
      </c>
      <c r="I118" s="378"/>
      <c r="J118" s="318">
        <v>-4000000</v>
      </c>
      <c r="K118" s="318">
        <v>-4000000</v>
      </c>
    </row>
    <row r="119" spans="2:17" ht="31.5" hidden="1" x14ac:dyDescent="0.25">
      <c r="B119" s="210" t="s">
        <v>438</v>
      </c>
      <c r="C119" s="210" t="s">
        <v>439</v>
      </c>
      <c r="D119" s="211"/>
      <c r="E119" s="212" t="s">
        <v>440</v>
      </c>
      <c r="F119" s="212"/>
      <c r="G119" s="381"/>
      <c r="H119" s="560">
        <f>H120</f>
        <v>0</v>
      </c>
      <c r="I119" s="382">
        <f t="shared" ref="I119:K120" si="9">I120</f>
        <v>0</v>
      </c>
      <c r="J119" s="382">
        <f t="shared" si="9"/>
        <v>0</v>
      </c>
      <c r="K119" s="382">
        <f t="shared" si="9"/>
        <v>0</v>
      </c>
    </row>
    <row r="120" spans="2:17" ht="31.5" hidden="1" x14ac:dyDescent="0.25">
      <c r="B120" s="210" t="s">
        <v>441</v>
      </c>
      <c r="C120" s="210"/>
      <c r="D120" s="211"/>
      <c r="E120" s="212" t="s">
        <v>442</v>
      </c>
      <c r="F120" s="212"/>
      <c r="G120" s="381"/>
      <c r="H120" s="560">
        <f>H121</f>
        <v>0</v>
      </c>
      <c r="I120" s="382">
        <f t="shared" si="9"/>
        <v>0</v>
      </c>
      <c r="J120" s="382">
        <f t="shared" si="9"/>
        <v>0</v>
      </c>
      <c r="K120" s="382">
        <f t="shared" si="9"/>
        <v>0</v>
      </c>
    </row>
    <row r="121" spans="2:17" ht="42.75" hidden="1" customHeight="1" x14ac:dyDescent="0.25">
      <c r="B121" s="140" t="s">
        <v>445</v>
      </c>
      <c r="C121" s="165" t="s">
        <v>446</v>
      </c>
      <c r="D121" s="140" t="s">
        <v>447</v>
      </c>
      <c r="E121" s="154" t="s">
        <v>635</v>
      </c>
      <c r="F121" s="171" t="s">
        <v>636</v>
      </c>
      <c r="G121" s="379" t="s">
        <v>637</v>
      </c>
      <c r="H121" s="377">
        <f>I121+J121</f>
        <v>0</v>
      </c>
      <c r="I121" s="313"/>
      <c r="J121" s="217"/>
      <c r="K121" s="217"/>
    </row>
    <row r="122" spans="2:17" s="214" customFormat="1" ht="33.75" customHeight="1" x14ac:dyDescent="0.25">
      <c r="B122" s="303"/>
      <c r="C122" s="305"/>
      <c r="D122" s="305"/>
      <c r="E122" s="380" t="s">
        <v>638</v>
      </c>
      <c r="F122" s="383"/>
      <c r="G122" s="384"/>
      <c r="H122" s="457">
        <f>I122+J122</f>
        <v>79864017</v>
      </c>
      <c r="I122" s="454">
        <f>I83+I72+I60+I10+I119+I110</f>
        <v>40141017</v>
      </c>
      <c r="J122" s="454">
        <f>J83+J72+J60+J10+J119+J110</f>
        <v>39723000</v>
      </c>
      <c r="K122" s="454">
        <f>K83+K72+K60+K10+K119+K110</f>
        <v>39723000</v>
      </c>
      <c r="M122" s="371">
        <f>J122-K122</f>
        <v>0</v>
      </c>
    </row>
    <row r="123" spans="2:17" hidden="1" x14ac:dyDescent="0.25">
      <c r="H123" s="385"/>
      <c r="I123" s="385"/>
      <c r="J123" s="385"/>
      <c r="K123" s="386"/>
      <c r="M123" s="7">
        <v>80000</v>
      </c>
    </row>
    <row r="124" spans="2:17" ht="23.25" hidden="1" customHeight="1" x14ac:dyDescent="0.25">
      <c r="B124" s="387"/>
      <c r="C124" s="387"/>
      <c r="D124" s="387"/>
      <c r="E124" s="387"/>
      <c r="F124" s="387"/>
      <c r="G124" s="387"/>
      <c r="H124" s="388"/>
      <c r="I124" s="388"/>
      <c r="J124" s="388"/>
      <c r="K124" s="388"/>
      <c r="M124" s="75">
        <f>M122-M123</f>
        <v>-80000</v>
      </c>
    </row>
    <row r="125" spans="2:17" ht="20.25" customHeight="1" x14ac:dyDescent="0.25">
      <c r="B125" s="387"/>
      <c r="C125" s="387"/>
      <c r="D125" s="387"/>
      <c r="E125" s="387"/>
      <c r="F125" s="387"/>
      <c r="G125" s="387"/>
      <c r="H125" s="387"/>
      <c r="I125" s="387"/>
      <c r="J125" s="389"/>
      <c r="K125" s="388"/>
      <c r="L125" s="387"/>
      <c r="M125" s="387"/>
      <c r="N125" s="387"/>
      <c r="O125" s="387"/>
      <c r="P125" s="387"/>
      <c r="Q125" s="387"/>
    </row>
    <row r="126" spans="2:17" s="70" customFormat="1" ht="20.25" customHeight="1" x14ac:dyDescent="0.3">
      <c r="B126" s="390"/>
      <c r="C126" s="390"/>
      <c r="D126" s="390"/>
      <c r="E126" s="72" t="s">
        <v>727</v>
      </c>
      <c r="F126" s="60"/>
      <c r="G126" s="8"/>
      <c r="H126" s="75"/>
      <c r="I126" s="73" t="s">
        <v>728</v>
      </c>
      <c r="J126" s="391"/>
      <c r="K126" s="390"/>
      <c r="L126" s="390"/>
      <c r="M126" s="392"/>
      <c r="N126" s="390"/>
      <c r="O126" s="390"/>
      <c r="P126" s="390"/>
      <c r="Q126" s="390"/>
    </row>
    <row r="127" spans="2:17" ht="30.75" customHeight="1" x14ac:dyDescent="0.25">
      <c r="B127" s="387"/>
      <c r="C127" s="387"/>
      <c r="D127" s="387"/>
      <c r="E127" s="387"/>
      <c r="F127" s="387"/>
      <c r="G127" s="387"/>
      <c r="H127" s="387"/>
      <c r="I127" s="387"/>
      <c r="J127" s="393"/>
      <c r="K127" s="387"/>
      <c r="L127" s="387"/>
      <c r="M127" s="387"/>
      <c r="N127" s="387"/>
      <c r="O127" s="387"/>
      <c r="P127" s="387"/>
      <c r="Q127" s="387"/>
    </row>
    <row r="128" spans="2:17" ht="21" customHeight="1" x14ac:dyDescent="0.25">
      <c r="B128" s="387"/>
      <c r="C128" s="387"/>
      <c r="D128" s="387"/>
      <c r="E128" s="387"/>
      <c r="F128" s="387"/>
      <c r="G128" s="387"/>
      <c r="H128" s="387"/>
      <c r="I128" s="387"/>
      <c r="J128" s="387"/>
      <c r="K128" s="387"/>
      <c r="L128" s="387"/>
      <c r="M128" s="387"/>
      <c r="N128" s="387"/>
      <c r="O128" s="387"/>
      <c r="P128" s="387"/>
      <c r="Q128" s="387"/>
    </row>
    <row r="132" spans="8:10" x14ac:dyDescent="0.25">
      <c r="H132" s="298">
        <v>284608378</v>
      </c>
      <c r="J132" s="298">
        <v>284608378</v>
      </c>
    </row>
    <row r="134" spans="8:10" x14ac:dyDescent="0.25">
      <c r="J134" s="394"/>
    </row>
  </sheetData>
  <autoFilter ref="A9:Q124" xr:uid="{00000000-0009-0000-0000-000007000000}">
    <filterColumn colId="7">
      <filters>
        <filter val="-1 330 000,00"/>
        <filter val="-1 500 000,00"/>
        <filter val="10 000 000,00"/>
        <filter val="-100 000,00"/>
        <filter val="-115 000,00"/>
        <filter val="12 543 356,00"/>
        <filter val="-120 000,00"/>
        <filter val="13 236 644,00"/>
        <filter val="2 000 000"/>
        <filter val="2 000 000,00"/>
        <filter val="-2 400 000,00"/>
        <filter val="22 500 000,00"/>
        <filter val="230 000,00"/>
        <filter val="-25 000,00"/>
        <filter val="3 000 000,00"/>
        <filter val="320 000,00"/>
        <filter val="-340 000,00"/>
        <filter val="350 000,00"/>
        <filter val="-4 000 000"/>
        <filter val="4 000 000,00"/>
        <filter val="-4 000 000,00"/>
        <filter val="420 000"/>
        <filter val="43 784 000,00"/>
        <filter val="-450 000,00"/>
        <filter val="48 744 294,00"/>
        <filter val="5 000 000,00"/>
        <filter val="5 700 000,00"/>
        <filter val="-55 387,00"/>
        <filter val="6 944 000,00"/>
        <filter val="-6 984 277,00"/>
        <filter val="-650 000,00"/>
        <filter val="7 303 056,00"/>
        <filter val="700 000,00"/>
        <filter val="81 864 017,00"/>
        <filter val="-893 375,00"/>
      </filters>
    </filterColumn>
  </autoFilter>
  <mergeCells count="49">
    <mergeCell ref="F112:F118"/>
    <mergeCell ref="G112:G118"/>
    <mergeCell ref="F88:F89"/>
    <mergeCell ref="G88:G89"/>
    <mergeCell ref="F91:F92"/>
    <mergeCell ref="G91:G92"/>
    <mergeCell ref="F104:F108"/>
    <mergeCell ref="G104:G108"/>
    <mergeCell ref="F75:F76"/>
    <mergeCell ref="G75:G76"/>
    <mergeCell ref="F80:F82"/>
    <mergeCell ref="G80:G82"/>
    <mergeCell ref="B85:B87"/>
    <mergeCell ref="C85:C87"/>
    <mergeCell ref="D85:D87"/>
    <mergeCell ref="E85:E87"/>
    <mergeCell ref="F62:F63"/>
    <mergeCell ref="G62:G63"/>
    <mergeCell ref="F64:F65"/>
    <mergeCell ref="G64:G65"/>
    <mergeCell ref="B66:B68"/>
    <mergeCell ref="C66:C68"/>
    <mergeCell ref="D66:D68"/>
    <mergeCell ref="E66:E68"/>
    <mergeCell ref="G14:G15"/>
    <mergeCell ref="B19:B20"/>
    <mergeCell ref="C19:C20"/>
    <mergeCell ref="D19:D20"/>
    <mergeCell ref="E19:E20"/>
    <mergeCell ref="F17:F18"/>
    <mergeCell ref="G17:G18"/>
    <mergeCell ref="B12:B13"/>
    <mergeCell ref="C12:C13"/>
    <mergeCell ref="D12:D13"/>
    <mergeCell ref="E12:E13"/>
    <mergeCell ref="F14:F15"/>
    <mergeCell ref="B1:I1"/>
    <mergeCell ref="G2:K2"/>
    <mergeCell ref="A4:P4"/>
    <mergeCell ref="E5:F5"/>
    <mergeCell ref="B7:B8"/>
    <mergeCell ref="C7:C8"/>
    <mergeCell ref="D7:D8"/>
    <mergeCell ref="E7:E8"/>
    <mergeCell ref="F7:F8"/>
    <mergeCell ref="G7:G8"/>
    <mergeCell ref="H7:H8"/>
    <mergeCell ref="I7:I8"/>
    <mergeCell ref="J7:K7"/>
  </mergeCells>
  <pageMargins left="0.23622047244094491" right="0.19685039370078741" top="0.47244094488188981" bottom="0.27559055118110237" header="0.23622047244094491" footer="0.27559055118110237"/>
  <pageSetup paperSize="9" scale="46" fitToHeight="3" orientation="landscape" r:id="rId1"/>
  <headerFooter alignWithMargins="0"/>
  <rowBreaks count="3" manualBreakCount="3">
    <brk id="59" max="10" man="1"/>
    <brk id="82" max="10" man="1"/>
    <brk id="109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121"/>
  <sheetViews>
    <sheetView view="pageBreakPreview" zoomScaleNormal="100" zoomScaleSheetLayoutView="100" workbookViewId="0">
      <selection activeCell="A4" sqref="A4:F4"/>
    </sheetView>
  </sheetViews>
  <sheetFormatPr defaultRowHeight="15.75" x14ac:dyDescent="0.25"/>
  <cols>
    <col min="1" max="1" width="13" style="74" customWidth="1"/>
    <col min="2" max="2" width="65.28515625" style="13" customWidth="1"/>
    <col min="3" max="3" width="23.42578125" style="7" customWidth="1"/>
    <col min="4" max="4" width="25.5703125" style="14" customWidth="1"/>
    <col min="5" max="5" width="21.140625" style="7" customWidth="1"/>
    <col min="6" max="6" width="21.5703125" style="7" customWidth="1"/>
    <col min="7" max="7" width="23.5703125" style="14" customWidth="1"/>
    <col min="8" max="8" width="18" style="7" customWidth="1"/>
    <col min="9" max="9" width="16.140625" style="7" customWidth="1"/>
    <col min="10" max="17" width="9.140625" style="7"/>
    <col min="18" max="256" width="9.140625" style="8"/>
    <col min="257" max="257" width="13" style="8" customWidth="1"/>
    <col min="258" max="258" width="65.28515625" style="8" customWidth="1"/>
    <col min="259" max="259" width="23.42578125" style="8" customWidth="1"/>
    <col min="260" max="260" width="25.5703125" style="8" customWidth="1"/>
    <col min="261" max="261" width="21.140625" style="8" customWidth="1"/>
    <col min="262" max="262" width="21.5703125" style="8" customWidth="1"/>
    <col min="263" max="263" width="23.5703125" style="8" customWidth="1"/>
    <col min="264" max="264" width="18" style="8" customWidth="1"/>
    <col min="265" max="265" width="16.140625" style="8" customWidth="1"/>
    <col min="266" max="512" width="9.140625" style="8"/>
    <col min="513" max="513" width="13" style="8" customWidth="1"/>
    <col min="514" max="514" width="65.28515625" style="8" customWidth="1"/>
    <col min="515" max="515" width="23.42578125" style="8" customWidth="1"/>
    <col min="516" max="516" width="25.5703125" style="8" customWidth="1"/>
    <col min="517" max="517" width="21.140625" style="8" customWidth="1"/>
    <col min="518" max="518" width="21.5703125" style="8" customWidth="1"/>
    <col min="519" max="519" width="23.5703125" style="8" customWidth="1"/>
    <col min="520" max="520" width="18" style="8" customWidth="1"/>
    <col min="521" max="521" width="16.140625" style="8" customWidth="1"/>
    <col min="522" max="768" width="9.140625" style="8"/>
    <col min="769" max="769" width="13" style="8" customWidth="1"/>
    <col min="770" max="770" width="65.28515625" style="8" customWidth="1"/>
    <col min="771" max="771" width="23.42578125" style="8" customWidth="1"/>
    <col min="772" max="772" width="25.5703125" style="8" customWidth="1"/>
    <col min="773" max="773" width="21.140625" style="8" customWidth="1"/>
    <col min="774" max="774" width="21.5703125" style="8" customWidth="1"/>
    <col min="775" max="775" width="23.5703125" style="8" customWidth="1"/>
    <col min="776" max="776" width="18" style="8" customWidth="1"/>
    <col min="777" max="777" width="16.140625" style="8" customWidth="1"/>
    <col min="778" max="1024" width="9.140625" style="8"/>
    <col min="1025" max="1025" width="13" style="8" customWidth="1"/>
    <col min="1026" max="1026" width="65.28515625" style="8" customWidth="1"/>
    <col min="1027" max="1027" width="23.42578125" style="8" customWidth="1"/>
    <col min="1028" max="1028" width="25.5703125" style="8" customWidth="1"/>
    <col min="1029" max="1029" width="21.140625" style="8" customWidth="1"/>
    <col min="1030" max="1030" width="21.5703125" style="8" customWidth="1"/>
    <col min="1031" max="1031" width="23.5703125" style="8" customWidth="1"/>
    <col min="1032" max="1032" width="18" style="8" customWidth="1"/>
    <col min="1033" max="1033" width="16.140625" style="8" customWidth="1"/>
    <col min="1034" max="1280" width="9.140625" style="8"/>
    <col min="1281" max="1281" width="13" style="8" customWidth="1"/>
    <col min="1282" max="1282" width="65.28515625" style="8" customWidth="1"/>
    <col min="1283" max="1283" width="23.42578125" style="8" customWidth="1"/>
    <col min="1284" max="1284" width="25.5703125" style="8" customWidth="1"/>
    <col min="1285" max="1285" width="21.140625" style="8" customWidth="1"/>
    <col min="1286" max="1286" width="21.5703125" style="8" customWidth="1"/>
    <col min="1287" max="1287" width="23.5703125" style="8" customWidth="1"/>
    <col min="1288" max="1288" width="18" style="8" customWidth="1"/>
    <col min="1289" max="1289" width="16.140625" style="8" customWidth="1"/>
    <col min="1290" max="1536" width="9.140625" style="8"/>
    <col min="1537" max="1537" width="13" style="8" customWidth="1"/>
    <col min="1538" max="1538" width="65.28515625" style="8" customWidth="1"/>
    <col min="1539" max="1539" width="23.42578125" style="8" customWidth="1"/>
    <col min="1540" max="1540" width="25.5703125" style="8" customWidth="1"/>
    <col min="1541" max="1541" width="21.140625" style="8" customWidth="1"/>
    <col min="1542" max="1542" width="21.5703125" style="8" customWidth="1"/>
    <col min="1543" max="1543" width="23.5703125" style="8" customWidth="1"/>
    <col min="1544" max="1544" width="18" style="8" customWidth="1"/>
    <col min="1545" max="1545" width="16.140625" style="8" customWidth="1"/>
    <col min="1546" max="1792" width="9.140625" style="8"/>
    <col min="1793" max="1793" width="13" style="8" customWidth="1"/>
    <col min="1794" max="1794" width="65.28515625" style="8" customWidth="1"/>
    <col min="1795" max="1795" width="23.42578125" style="8" customWidth="1"/>
    <col min="1796" max="1796" width="25.5703125" style="8" customWidth="1"/>
    <col min="1797" max="1797" width="21.140625" style="8" customWidth="1"/>
    <col min="1798" max="1798" width="21.5703125" style="8" customWidth="1"/>
    <col min="1799" max="1799" width="23.5703125" style="8" customWidth="1"/>
    <col min="1800" max="1800" width="18" style="8" customWidth="1"/>
    <col min="1801" max="1801" width="16.140625" style="8" customWidth="1"/>
    <col min="1802" max="2048" width="9.140625" style="8"/>
    <col min="2049" max="2049" width="13" style="8" customWidth="1"/>
    <col min="2050" max="2050" width="65.28515625" style="8" customWidth="1"/>
    <col min="2051" max="2051" width="23.42578125" style="8" customWidth="1"/>
    <col min="2052" max="2052" width="25.5703125" style="8" customWidth="1"/>
    <col min="2053" max="2053" width="21.140625" style="8" customWidth="1"/>
    <col min="2054" max="2054" width="21.5703125" style="8" customWidth="1"/>
    <col min="2055" max="2055" width="23.5703125" style="8" customWidth="1"/>
    <col min="2056" max="2056" width="18" style="8" customWidth="1"/>
    <col min="2057" max="2057" width="16.140625" style="8" customWidth="1"/>
    <col min="2058" max="2304" width="9.140625" style="8"/>
    <col min="2305" max="2305" width="13" style="8" customWidth="1"/>
    <col min="2306" max="2306" width="65.28515625" style="8" customWidth="1"/>
    <col min="2307" max="2307" width="23.42578125" style="8" customWidth="1"/>
    <col min="2308" max="2308" width="25.5703125" style="8" customWidth="1"/>
    <col min="2309" max="2309" width="21.140625" style="8" customWidth="1"/>
    <col min="2310" max="2310" width="21.5703125" style="8" customWidth="1"/>
    <col min="2311" max="2311" width="23.5703125" style="8" customWidth="1"/>
    <col min="2312" max="2312" width="18" style="8" customWidth="1"/>
    <col min="2313" max="2313" width="16.140625" style="8" customWidth="1"/>
    <col min="2314" max="2560" width="9.140625" style="8"/>
    <col min="2561" max="2561" width="13" style="8" customWidth="1"/>
    <col min="2562" max="2562" width="65.28515625" style="8" customWidth="1"/>
    <col min="2563" max="2563" width="23.42578125" style="8" customWidth="1"/>
    <col min="2564" max="2564" width="25.5703125" style="8" customWidth="1"/>
    <col min="2565" max="2565" width="21.140625" style="8" customWidth="1"/>
    <col min="2566" max="2566" width="21.5703125" style="8" customWidth="1"/>
    <col min="2567" max="2567" width="23.5703125" style="8" customWidth="1"/>
    <col min="2568" max="2568" width="18" style="8" customWidth="1"/>
    <col min="2569" max="2569" width="16.140625" style="8" customWidth="1"/>
    <col min="2570" max="2816" width="9.140625" style="8"/>
    <col min="2817" max="2817" width="13" style="8" customWidth="1"/>
    <col min="2818" max="2818" width="65.28515625" style="8" customWidth="1"/>
    <col min="2819" max="2819" width="23.42578125" style="8" customWidth="1"/>
    <col min="2820" max="2820" width="25.5703125" style="8" customWidth="1"/>
    <col min="2821" max="2821" width="21.140625" style="8" customWidth="1"/>
    <col min="2822" max="2822" width="21.5703125" style="8" customWidth="1"/>
    <col min="2823" max="2823" width="23.5703125" style="8" customWidth="1"/>
    <col min="2824" max="2824" width="18" style="8" customWidth="1"/>
    <col min="2825" max="2825" width="16.140625" style="8" customWidth="1"/>
    <col min="2826" max="3072" width="9.140625" style="8"/>
    <col min="3073" max="3073" width="13" style="8" customWidth="1"/>
    <col min="3074" max="3074" width="65.28515625" style="8" customWidth="1"/>
    <col min="3075" max="3075" width="23.42578125" style="8" customWidth="1"/>
    <col min="3076" max="3076" width="25.5703125" style="8" customWidth="1"/>
    <col min="3077" max="3077" width="21.140625" style="8" customWidth="1"/>
    <col min="3078" max="3078" width="21.5703125" style="8" customWidth="1"/>
    <col min="3079" max="3079" width="23.5703125" style="8" customWidth="1"/>
    <col min="3080" max="3080" width="18" style="8" customWidth="1"/>
    <col min="3081" max="3081" width="16.140625" style="8" customWidth="1"/>
    <col min="3082" max="3328" width="9.140625" style="8"/>
    <col min="3329" max="3329" width="13" style="8" customWidth="1"/>
    <col min="3330" max="3330" width="65.28515625" style="8" customWidth="1"/>
    <col min="3331" max="3331" width="23.42578125" style="8" customWidth="1"/>
    <col min="3332" max="3332" width="25.5703125" style="8" customWidth="1"/>
    <col min="3333" max="3333" width="21.140625" style="8" customWidth="1"/>
    <col min="3334" max="3334" width="21.5703125" style="8" customWidth="1"/>
    <col min="3335" max="3335" width="23.5703125" style="8" customWidth="1"/>
    <col min="3336" max="3336" width="18" style="8" customWidth="1"/>
    <col min="3337" max="3337" width="16.140625" style="8" customWidth="1"/>
    <col min="3338" max="3584" width="9.140625" style="8"/>
    <col min="3585" max="3585" width="13" style="8" customWidth="1"/>
    <col min="3586" max="3586" width="65.28515625" style="8" customWidth="1"/>
    <col min="3587" max="3587" width="23.42578125" style="8" customWidth="1"/>
    <col min="3588" max="3588" width="25.5703125" style="8" customWidth="1"/>
    <col min="3589" max="3589" width="21.140625" style="8" customWidth="1"/>
    <col min="3590" max="3590" width="21.5703125" style="8" customWidth="1"/>
    <col min="3591" max="3591" width="23.5703125" style="8" customWidth="1"/>
    <col min="3592" max="3592" width="18" style="8" customWidth="1"/>
    <col min="3593" max="3593" width="16.140625" style="8" customWidth="1"/>
    <col min="3594" max="3840" width="9.140625" style="8"/>
    <col min="3841" max="3841" width="13" style="8" customWidth="1"/>
    <col min="3842" max="3842" width="65.28515625" style="8" customWidth="1"/>
    <col min="3843" max="3843" width="23.42578125" style="8" customWidth="1"/>
    <col min="3844" max="3844" width="25.5703125" style="8" customWidth="1"/>
    <col min="3845" max="3845" width="21.140625" style="8" customWidth="1"/>
    <col min="3846" max="3846" width="21.5703125" style="8" customWidth="1"/>
    <col min="3847" max="3847" width="23.5703125" style="8" customWidth="1"/>
    <col min="3848" max="3848" width="18" style="8" customWidth="1"/>
    <col min="3849" max="3849" width="16.140625" style="8" customWidth="1"/>
    <col min="3850" max="4096" width="9.140625" style="8"/>
    <col min="4097" max="4097" width="13" style="8" customWidth="1"/>
    <col min="4098" max="4098" width="65.28515625" style="8" customWidth="1"/>
    <col min="4099" max="4099" width="23.42578125" style="8" customWidth="1"/>
    <col min="4100" max="4100" width="25.5703125" style="8" customWidth="1"/>
    <col min="4101" max="4101" width="21.140625" style="8" customWidth="1"/>
    <col min="4102" max="4102" width="21.5703125" style="8" customWidth="1"/>
    <col min="4103" max="4103" width="23.5703125" style="8" customWidth="1"/>
    <col min="4104" max="4104" width="18" style="8" customWidth="1"/>
    <col min="4105" max="4105" width="16.140625" style="8" customWidth="1"/>
    <col min="4106" max="4352" width="9.140625" style="8"/>
    <col min="4353" max="4353" width="13" style="8" customWidth="1"/>
    <col min="4354" max="4354" width="65.28515625" style="8" customWidth="1"/>
    <col min="4355" max="4355" width="23.42578125" style="8" customWidth="1"/>
    <col min="4356" max="4356" width="25.5703125" style="8" customWidth="1"/>
    <col min="4357" max="4357" width="21.140625" style="8" customWidth="1"/>
    <col min="4358" max="4358" width="21.5703125" style="8" customWidth="1"/>
    <col min="4359" max="4359" width="23.5703125" style="8" customWidth="1"/>
    <col min="4360" max="4360" width="18" style="8" customWidth="1"/>
    <col min="4361" max="4361" width="16.140625" style="8" customWidth="1"/>
    <col min="4362" max="4608" width="9.140625" style="8"/>
    <col min="4609" max="4609" width="13" style="8" customWidth="1"/>
    <col min="4610" max="4610" width="65.28515625" style="8" customWidth="1"/>
    <col min="4611" max="4611" width="23.42578125" style="8" customWidth="1"/>
    <col min="4612" max="4612" width="25.5703125" style="8" customWidth="1"/>
    <col min="4613" max="4613" width="21.140625" style="8" customWidth="1"/>
    <col min="4614" max="4614" width="21.5703125" style="8" customWidth="1"/>
    <col min="4615" max="4615" width="23.5703125" style="8" customWidth="1"/>
    <col min="4616" max="4616" width="18" style="8" customWidth="1"/>
    <col min="4617" max="4617" width="16.140625" style="8" customWidth="1"/>
    <col min="4618" max="4864" width="9.140625" style="8"/>
    <col min="4865" max="4865" width="13" style="8" customWidth="1"/>
    <col min="4866" max="4866" width="65.28515625" style="8" customWidth="1"/>
    <col min="4867" max="4867" width="23.42578125" style="8" customWidth="1"/>
    <col min="4868" max="4868" width="25.5703125" style="8" customWidth="1"/>
    <col min="4869" max="4869" width="21.140625" style="8" customWidth="1"/>
    <col min="4870" max="4870" width="21.5703125" style="8" customWidth="1"/>
    <col min="4871" max="4871" width="23.5703125" style="8" customWidth="1"/>
    <col min="4872" max="4872" width="18" style="8" customWidth="1"/>
    <col min="4873" max="4873" width="16.140625" style="8" customWidth="1"/>
    <col min="4874" max="5120" width="9.140625" style="8"/>
    <col min="5121" max="5121" width="13" style="8" customWidth="1"/>
    <col min="5122" max="5122" width="65.28515625" style="8" customWidth="1"/>
    <col min="5123" max="5123" width="23.42578125" style="8" customWidth="1"/>
    <col min="5124" max="5124" width="25.5703125" style="8" customWidth="1"/>
    <col min="5125" max="5125" width="21.140625" style="8" customWidth="1"/>
    <col min="5126" max="5126" width="21.5703125" style="8" customWidth="1"/>
    <col min="5127" max="5127" width="23.5703125" style="8" customWidth="1"/>
    <col min="5128" max="5128" width="18" style="8" customWidth="1"/>
    <col min="5129" max="5129" width="16.140625" style="8" customWidth="1"/>
    <col min="5130" max="5376" width="9.140625" style="8"/>
    <col min="5377" max="5377" width="13" style="8" customWidth="1"/>
    <col min="5378" max="5378" width="65.28515625" style="8" customWidth="1"/>
    <col min="5379" max="5379" width="23.42578125" style="8" customWidth="1"/>
    <col min="5380" max="5380" width="25.5703125" style="8" customWidth="1"/>
    <col min="5381" max="5381" width="21.140625" style="8" customWidth="1"/>
    <col min="5382" max="5382" width="21.5703125" style="8" customWidth="1"/>
    <col min="5383" max="5383" width="23.5703125" style="8" customWidth="1"/>
    <col min="5384" max="5384" width="18" style="8" customWidth="1"/>
    <col min="5385" max="5385" width="16.140625" style="8" customWidth="1"/>
    <col min="5386" max="5632" width="9.140625" style="8"/>
    <col min="5633" max="5633" width="13" style="8" customWidth="1"/>
    <col min="5634" max="5634" width="65.28515625" style="8" customWidth="1"/>
    <col min="5635" max="5635" width="23.42578125" style="8" customWidth="1"/>
    <col min="5636" max="5636" width="25.5703125" style="8" customWidth="1"/>
    <col min="5637" max="5637" width="21.140625" style="8" customWidth="1"/>
    <col min="5638" max="5638" width="21.5703125" style="8" customWidth="1"/>
    <col min="5639" max="5639" width="23.5703125" style="8" customWidth="1"/>
    <col min="5640" max="5640" width="18" style="8" customWidth="1"/>
    <col min="5641" max="5641" width="16.140625" style="8" customWidth="1"/>
    <col min="5642" max="5888" width="9.140625" style="8"/>
    <col min="5889" max="5889" width="13" style="8" customWidth="1"/>
    <col min="5890" max="5890" width="65.28515625" style="8" customWidth="1"/>
    <col min="5891" max="5891" width="23.42578125" style="8" customWidth="1"/>
    <col min="5892" max="5892" width="25.5703125" style="8" customWidth="1"/>
    <col min="5893" max="5893" width="21.140625" style="8" customWidth="1"/>
    <col min="5894" max="5894" width="21.5703125" style="8" customWidth="1"/>
    <col min="5895" max="5895" width="23.5703125" style="8" customWidth="1"/>
    <col min="5896" max="5896" width="18" style="8" customWidth="1"/>
    <col min="5897" max="5897" width="16.140625" style="8" customWidth="1"/>
    <col min="5898" max="6144" width="9.140625" style="8"/>
    <col min="6145" max="6145" width="13" style="8" customWidth="1"/>
    <col min="6146" max="6146" width="65.28515625" style="8" customWidth="1"/>
    <col min="6147" max="6147" width="23.42578125" style="8" customWidth="1"/>
    <col min="6148" max="6148" width="25.5703125" style="8" customWidth="1"/>
    <col min="6149" max="6149" width="21.140625" style="8" customWidth="1"/>
    <col min="6150" max="6150" width="21.5703125" style="8" customWidth="1"/>
    <col min="6151" max="6151" width="23.5703125" style="8" customWidth="1"/>
    <col min="6152" max="6152" width="18" style="8" customWidth="1"/>
    <col min="6153" max="6153" width="16.140625" style="8" customWidth="1"/>
    <col min="6154" max="6400" width="9.140625" style="8"/>
    <col min="6401" max="6401" width="13" style="8" customWidth="1"/>
    <col min="6402" max="6402" width="65.28515625" style="8" customWidth="1"/>
    <col min="6403" max="6403" width="23.42578125" style="8" customWidth="1"/>
    <col min="6404" max="6404" width="25.5703125" style="8" customWidth="1"/>
    <col min="6405" max="6405" width="21.140625" style="8" customWidth="1"/>
    <col min="6406" max="6406" width="21.5703125" style="8" customWidth="1"/>
    <col min="6407" max="6407" width="23.5703125" style="8" customWidth="1"/>
    <col min="6408" max="6408" width="18" style="8" customWidth="1"/>
    <col min="6409" max="6409" width="16.140625" style="8" customWidth="1"/>
    <col min="6410" max="6656" width="9.140625" style="8"/>
    <col min="6657" max="6657" width="13" style="8" customWidth="1"/>
    <col min="6658" max="6658" width="65.28515625" style="8" customWidth="1"/>
    <col min="6659" max="6659" width="23.42578125" style="8" customWidth="1"/>
    <col min="6660" max="6660" width="25.5703125" style="8" customWidth="1"/>
    <col min="6661" max="6661" width="21.140625" style="8" customWidth="1"/>
    <col min="6662" max="6662" width="21.5703125" style="8" customWidth="1"/>
    <col min="6663" max="6663" width="23.5703125" style="8" customWidth="1"/>
    <col min="6664" max="6664" width="18" style="8" customWidth="1"/>
    <col min="6665" max="6665" width="16.140625" style="8" customWidth="1"/>
    <col min="6666" max="6912" width="9.140625" style="8"/>
    <col min="6913" max="6913" width="13" style="8" customWidth="1"/>
    <col min="6914" max="6914" width="65.28515625" style="8" customWidth="1"/>
    <col min="6915" max="6915" width="23.42578125" style="8" customWidth="1"/>
    <col min="6916" max="6916" width="25.5703125" style="8" customWidth="1"/>
    <col min="6917" max="6917" width="21.140625" style="8" customWidth="1"/>
    <col min="6918" max="6918" width="21.5703125" style="8" customWidth="1"/>
    <col min="6919" max="6919" width="23.5703125" style="8" customWidth="1"/>
    <col min="6920" max="6920" width="18" style="8" customWidth="1"/>
    <col min="6921" max="6921" width="16.140625" style="8" customWidth="1"/>
    <col min="6922" max="7168" width="9.140625" style="8"/>
    <col min="7169" max="7169" width="13" style="8" customWidth="1"/>
    <col min="7170" max="7170" width="65.28515625" style="8" customWidth="1"/>
    <col min="7171" max="7171" width="23.42578125" style="8" customWidth="1"/>
    <col min="7172" max="7172" width="25.5703125" style="8" customWidth="1"/>
    <col min="7173" max="7173" width="21.140625" style="8" customWidth="1"/>
    <col min="7174" max="7174" width="21.5703125" style="8" customWidth="1"/>
    <col min="7175" max="7175" width="23.5703125" style="8" customWidth="1"/>
    <col min="7176" max="7176" width="18" style="8" customWidth="1"/>
    <col min="7177" max="7177" width="16.140625" style="8" customWidth="1"/>
    <col min="7178" max="7424" width="9.140625" style="8"/>
    <col min="7425" max="7425" width="13" style="8" customWidth="1"/>
    <col min="7426" max="7426" width="65.28515625" style="8" customWidth="1"/>
    <col min="7427" max="7427" width="23.42578125" style="8" customWidth="1"/>
    <col min="7428" max="7428" width="25.5703125" style="8" customWidth="1"/>
    <col min="7429" max="7429" width="21.140625" style="8" customWidth="1"/>
    <col min="7430" max="7430" width="21.5703125" style="8" customWidth="1"/>
    <col min="7431" max="7431" width="23.5703125" style="8" customWidth="1"/>
    <col min="7432" max="7432" width="18" style="8" customWidth="1"/>
    <col min="7433" max="7433" width="16.140625" style="8" customWidth="1"/>
    <col min="7434" max="7680" width="9.140625" style="8"/>
    <col min="7681" max="7681" width="13" style="8" customWidth="1"/>
    <col min="7682" max="7682" width="65.28515625" style="8" customWidth="1"/>
    <col min="7683" max="7683" width="23.42578125" style="8" customWidth="1"/>
    <col min="7684" max="7684" width="25.5703125" style="8" customWidth="1"/>
    <col min="7685" max="7685" width="21.140625" style="8" customWidth="1"/>
    <col min="7686" max="7686" width="21.5703125" style="8" customWidth="1"/>
    <col min="7687" max="7687" width="23.5703125" style="8" customWidth="1"/>
    <col min="7688" max="7688" width="18" style="8" customWidth="1"/>
    <col min="7689" max="7689" width="16.140625" style="8" customWidth="1"/>
    <col min="7690" max="7936" width="9.140625" style="8"/>
    <col min="7937" max="7937" width="13" style="8" customWidth="1"/>
    <col min="7938" max="7938" width="65.28515625" style="8" customWidth="1"/>
    <col min="7939" max="7939" width="23.42578125" style="8" customWidth="1"/>
    <col min="7940" max="7940" width="25.5703125" style="8" customWidth="1"/>
    <col min="7941" max="7941" width="21.140625" style="8" customWidth="1"/>
    <col min="7942" max="7942" width="21.5703125" style="8" customWidth="1"/>
    <col min="7943" max="7943" width="23.5703125" style="8" customWidth="1"/>
    <col min="7944" max="7944" width="18" style="8" customWidth="1"/>
    <col min="7945" max="7945" width="16.140625" style="8" customWidth="1"/>
    <col min="7946" max="8192" width="9.140625" style="8"/>
    <col min="8193" max="8193" width="13" style="8" customWidth="1"/>
    <col min="8194" max="8194" width="65.28515625" style="8" customWidth="1"/>
    <col min="8195" max="8195" width="23.42578125" style="8" customWidth="1"/>
    <col min="8196" max="8196" width="25.5703125" style="8" customWidth="1"/>
    <col min="8197" max="8197" width="21.140625" style="8" customWidth="1"/>
    <col min="8198" max="8198" width="21.5703125" style="8" customWidth="1"/>
    <col min="8199" max="8199" width="23.5703125" style="8" customWidth="1"/>
    <col min="8200" max="8200" width="18" style="8" customWidth="1"/>
    <col min="8201" max="8201" width="16.140625" style="8" customWidth="1"/>
    <col min="8202" max="8448" width="9.140625" style="8"/>
    <col min="8449" max="8449" width="13" style="8" customWidth="1"/>
    <col min="8450" max="8450" width="65.28515625" style="8" customWidth="1"/>
    <col min="8451" max="8451" width="23.42578125" style="8" customWidth="1"/>
    <col min="8452" max="8452" width="25.5703125" style="8" customWidth="1"/>
    <col min="8453" max="8453" width="21.140625" style="8" customWidth="1"/>
    <col min="8454" max="8454" width="21.5703125" style="8" customWidth="1"/>
    <col min="8455" max="8455" width="23.5703125" style="8" customWidth="1"/>
    <col min="8456" max="8456" width="18" style="8" customWidth="1"/>
    <col min="8457" max="8457" width="16.140625" style="8" customWidth="1"/>
    <col min="8458" max="8704" width="9.140625" style="8"/>
    <col min="8705" max="8705" width="13" style="8" customWidth="1"/>
    <col min="8706" max="8706" width="65.28515625" style="8" customWidth="1"/>
    <col min="8707" max="8707" width="23.42578125" style="8" customWidth="1"/>
    <col min="8708" max="8708" width="25.5703125" style="8" customWidth="1"/>
    <col min="8709" max="8709" width="21.140625" style="8" customWidth="1"/>
    <col min="8710" max="8710" width="21.5703125" style="8" customWidth="1"/>
    <col min="8711" max="8711" width="23.5703125" style="8" customWidth="1"/>
    <col min="8712" max="8712" width="18" style="8" customWidth="1"/>
    <col min="8713" max="8713" width="16.140625" style="8" customWidth="1"/>
    <col min="8714" max="8960" width="9.140625" style="8"/>
    <col min="8961" max="8961" width="13" style="8" customWidth="1"/>
    <col min="8962" max="8962" width="65.28515625" style="8" customWidth="1"/>
    <col min="8963" max="8963" width="23.42578125" style="8" customWidth="1"/>
    <col min="8964" max="8964" width="25.5703125" style="8" customWidth="1"/>
    <col min="8965" max="8965" width="21.140625" style="8" customWidth="1"/>
    <col min="8966" max="8966" width="21.5703125" style="8" customWidth="1"/>
    <col min="8967" max="8967" width="23.5703125" style="8" customWidth="1"/>
    <col min="8968" max="8968" width="18" style="8" customWidth="1"/>
    <col min="8969" max="8969" width="16.140625" style="8" customWidth="1"/>
    <col min="8970" max="9216" width="9.140625" style="8"/>
    <col min="9217" max="9217" width="13" style="8" customWidth="1"/>
    <col min="9218" max="9218" width="65.28515625" style="8" customWidth="1"/>
    <col min="9219" max="9219" width="23.42578125" style="8" customWidth="1"/>
    <col min="9220" max="9220" width="25.5703125" style="8" customWidth="1"/>
    <col min="9221" max="9221" width="21.140625" style="8" customWidth="1"/>
    <col min="9222" max="9222" width="21.5703125" style="8" customWidth="1"/>
    <col min="9223" max="9223" width="23.5703125" style="8" customWidth="1"/>
    <col min="9224" max="9224" width="18" style="8" customWidth="1"/>
    <col min="9225" max="9225" width="16.140625" style="8" customWidth="1"/>
    <col min="9226" max="9472" width="9.140625" style="8"/>
    <col min="9473" max="9473" width="13" style="8" customWidth="1"/>
    <col min="9474" max="9474" width="65.28515625" style="8" customWidth="1"/>
    <col min="9475" max="9475" width="23.42578125" style="8" customWidth="1"/>
    <col min="9476" max="9476" width="25.5703125" style="8" customWidth="1"/>
    <col min="9477" max="9477" width="21.140625" style="8" customWidth="1"/>
    <col min="9478" max="9478" width="21.5703125" style="8" customWidth="1"/>
    <col min="9479" max="9479" width="23.5703125" style="8" customWidth="1"/>
    <col min="9480" max="9480" width="18" style="8" customWidth="1"/>
    <col min="9481" max="9481" width="16.140625" style="8" customWidth="1"/>
    <col min="9482" max="9728" width="9.140625" style="8"/>
    <col min="9729" max="9729" width="13" style="8" customWidth="1"/>
    <col min="9730" max="9730" width="65.28515625" style="8" customWidth="1"/>
    <col min="9731" max="9731" width="23.42578125" style="8" customWidth="1"/>
    <col min="9732" max="9732" width="25.5703125" style="8" customWidth="1"/>
    <col min="9733" max="9733" width="21.140625" style="8" customWidth="1"/>
    <col min="9734" max="9734" width="21.5703125" style="8" customWidth="1"/>
    <col min="9735" max="9735" width="23.5703125" style="8" customWidth="1"/>
    <col min="9736" max="9736" width="18" style="8" customWidth="1"/>
    <col min="9737" max="9737" width="16.140625" style="8" customWidth="1"/>
    <col min="9738" max="9984" width="9.140625" style="8"/>
    <col min="9985" max="9985" width="13" style="8" customWidth="1"/>
    <col min="9986" max="9986" width="65.28515625" style="8" customWidth="1"/>
    <col min="9987" max="9987" width="23.42578125" style="8" customWidth="1"/>
    <col min="9988" max="9988" width="25.5703125" style="8" customWidth="1"/>
    <col min="9989" max="9989" width="21.140625" style="8" customWidth="1"/>
    <col min="9990" max="9990" width="21.5703125" style="8" customWidth="1"/>
    <col min="9991" max="9991" width="23.5703125" style="8" customWidth="1"/>
    <col min="9992" max="9992" width="18" style="8" customWidth="1"/>
    <col min="9993" max="9993" width="16.140625" style="8" customWidth="1"/>
    <col min="9994" max="10240" width="9.140625" style="8"/>
    <col min="10241" max="10241" width="13" style="8" customWidth="1"/>
    <col min="10242" max="10242" width="65.28515625" style="8" customWidth="1"/>
    <col min="10243" max="10243" width="23.42578125" style="8" customWidth="1"/>
    <col min="10244" max="10244" width="25.5703125" style="8" customWidth="1"/>
    <col min="10245" max="10245" width="21.140625" style="8" customWidth="1"/>
    <col min="10246" max="10246" width="21.5703125" style="8" customWidth="1"/>
    <col min="10247" max="10247" width="23.5703125" style="8" customWidth="1"/>
    <col min="10248" max="10248" width="18" style="8" customWidth="1"/>
    <col min="10249" max="10249" width="16.140625" style="8" customWidth="1"/>
    <col min="10250" max="10496" width="9.140625" style="8"/>
    <col min="10497" max="10497" width="13" style="8" customWidth="1"/>
    <col min="10498" max="10498" width="65.28515625" style="8" customWidth="1"/>
    <col min="10499" max="10499" width="23.42578125" style="8" customWidth="1"/>
    <col min="10500" max="10500" width="25.5703125" style="8" customWidth="1"/>
    <col min="10501" max="10501" width="21.140625" style="8" customWidth="1"/>
    <col min="10502" max="10502" width="21.5703125" style="8" customWidth="1"/>
    <col min="10503" max="10503" width="23.5703125" style="8" customWidth="1"/>
    <col min="10504" max="10504" width="18" style="8" customWidth="1"/>
    <col min="10505" max="10505" width="16.140625" style="8" customWidth="1"/>
    <col min="10506" max="10752" width="9.140625" style="8"/>
    <col min="10753" max="10753" width="13" style="8" customWidth="1"/>
    <col min="10754" max="10754" width="65.28515625" style="8" customWidth="1"/>
    <col min="10755" max="10755" width="23.42578125" style="8" customWidth="1"/>
    <col min="10756" max="10756" width="25.5703125" style="8" customWidth="1"/>
    <col min="10757" max="10757" width="21.140625" style="8" customWidth="1"/>
    <col min="10758" max="10758" width="21.5703125" style="8" customWidth="1"/>
    <col min="10759" max="10759" width="23.5703125" style="8" customWidth="1"/>
    <col min="10760" max="10760" width="18" style="8" customWidth="1"/>
    <col min="10761" max="10761" width="16.140625" style="8" customWidth="1"/>
    <col min="10762" max="11008" width="9.140625" style="8"/>
    <col min="11009" max="11009" width="13" style="8" customWidth="1"/>
    <col min="11010" max="11010" width="65.28515625" style="8" customWidth="1"/>
    <col min="11011" max="11011" width="23.42578125" style="8" customWidth="1"/>
    <col min="11012" max="11012" width="25.5703125" style="8" customWidth="1"/>
    <col min="11013" max="11013" width="21.140625" style="8" customWidth="1"/>
    <col min="11014" max="11014" width="21.5703125" style="8" customWidth="1"/>
    <col min="11015" max="11015" width="23.5703125" style="8" customWidth="1"/>
    <col min="11016" max="11016" width="18" style="8" customWidth="1"/>
    <col min="11017" max="11017" width="16.140625" style="8" customWidth="1"/>
    <col min="11018" max="11264" width="9.140625" style="8"/>
    <col min="11265" max="11265" width="13" style="8" customWidth="1"/>
    <col min="11266" max="11266" width="65.28515625" style="8" customWidth="1"/>
    <col min="11267" max="11267" width="23.42578125" style="8" customWidth="1"/>
    <col min="11268" max="11268" width="25.5703125" style="8" customWidth="1"/>
    <col min="11269" max="11269" width="21.140625" style="8" customWidth="1"/>
    <col min="11270" max="11270" width="21.5703125" style="8" customWidth="1"/>
    <col min="11271" max="11271" width="23.5703125" style="8" customWidth="1"/>
    <col min="11272" max="11272" width="18" style="8" customWidth="1"/>
    <col min="11273" max="11273" width="16.140625" style="8" customWidth="1"/>
    <col min="11274" max="11520" width="9.140625" style="8"/>
    <col min="11521" max="11521" width="13" style="8" customWidth="1"/>
    <col min="11522" max="11522" width="65.28515625" style="8" customWidth="1"/>
    <col min="11523" max="11523" width="23.42578125" style="8" customWidth="1"/>
    <col min="11524" max="11524" width="25.5703125" style="8" customWidth="1"/>
    <col min="11525" max="11525" width="21.140625" style="8" customWidth="1"/>
    <col min="11526" max="11526" width="21.5703125" style="8" customWidth="1"/>
    <col min="11527" max="11527" width="23.5703125" style="8" customWidth="1"/>
    <col min="11528" max="11528" width="18" style="8" customWidth="1"/>
    <col min="11529" max="11529" width="16.140625" style="8" customWidth="1"/>
    <col min="11530" max="11776" width="9.140625" style="8"/>
    <col min="11777" max="11777" width="13" style="8" customWidth="1"/>
    <col min="11778" max="11778" width="65.28515625" style="8" customWidth="1"/>
    <col min="11779" max="11779" width="23.42578125" style="8" customWidth="1"/>
    <col min="11780" max="11780" width="25.5703125" style="8" customWidth="1"/>
    <col min="11781" max="11781" width="21.140625" style="8" customWidth="1"/>
    <col min="11782" max="11782" width="21.5703125" style="8" customWidth="1"/>
    <col min="11783" max="11783" width="23.5703125" style="8" customWidth="1"/>
    <col min="11784" max="11784" width="18" style="8" customWidth="1"/>
    <col min="11785" max="11785" width="16.140625" style="8" customWidth="1"/>
    <col min="11786" max="12032" width="9.140625" style="8"/>
    <col min="12033" max="12033" width="13" style="8" customWidth="1"/>
    <col min="12034" max="12034" width="65.28515625" style="8" customWidth="1"/>
    <col min="12035" max="12035" width="23.42578125" style="8" customWidth="1"/>
    <col min="12036" max="12036" width="25.5703125" style="8" customWidth="1"/>
    <col min="12037" max="12037" width="21.140625" style="8" customWidth="1"/>
    <col min="12038" max="12038" width="21.5703125" style="8" customWidth="1"/>
    <col min="12039" max="12039" width="23.5703125" style="8" customWidth="1"/>
    <col min="12040" max="12040" width="18" style="8" customWidth="1"/>
    <col min="12041" max="12041" width="16.140625" style="8" customWidth="1"/>
    <col min="12042" max="12288" width="9.140625" style="8"/>
    <col min="12289" max="12289" width="13" style="8" customWidth="1"/>
    <col min="12290" max="12290" width="65.28515625" style="8" customWidth="1"/>
    <col min="12291" max="12291" width="23.42578125" style="8" customWidth="1"/>
    <col min="12292" max="12292" width="25.5703125" style="8" customWidth="1"/>
    <col min="12293" max="12293" width="21.140625" style="8" customWidth="1"/>
    <col min="12294" max="12294" width="21.5703125" style="8" customWidth="1"/>
    <col min="12295" max="12295" width="23.5703125" style="8" customWidth="1"/>
    <col min="12296" max="12296" width="18" style="8" customWidth="1"/>
    <col min="12297" max="12297" width="16.140625" style="8" customWidth="1"/>
    <col min="12298" max="12544" width="9.140625" style="8"/>
    <col min="12545" max="12545" width="13" style="8" customWidth="1"/>
    <col min="12546" max="12546" width="65.28515625" style="8" customWidth="1"/>
    <col min="12547" max="12547" width="23.42578125" style="8" customWidth="1"/>
    <col min="12548" max="12548" width="25.5703125" style="8" customWidth="1"/>
    <col min="12549" max="12549" width="21.140625" style="8" customWidth="1"/>
    <col min="12550" max="12550" width="21.5703125" style="8" customWidth="1"/>
    <col min="12551" max="12551" width="23.5703125" style="8" customWidth="1"/>
    <col min="12552" max="12552" width="18" style="8" customWidth="1"/>
    <col min="12553" max="12553" width="16.140625" style="8" customWidth="1"/>
    <col min="12554" max="12800" width="9.140625" style="8"/>
    <col min="12801" max="12801" width="13" style="8" customWidth="1"/>
    <col min="12802" max="12802" width="65.28515625" style="8" customWidth="1"/>
    <col min="12803" max="12803" width="23.42578125" style="8" customWidth="1"/>
    <col min="12804" max="12804" width="25.5703125" style="8" customWidth="1"/>
    <col min="12805" max="12805" width="21.140625" style="8" customWidth="1"/>
    <col min="12806" max="12806" width="21.5703125" style="8" customWidth="1"/>
    <col min="12807" max="12807" width="23.5703125" style="8" customWidth="1"/>
    <col min="12808" max="12808" width="18" style="8" customWidth="1"/>
    <col min="12809" max="12809" width="16.140625" style="8" customWidth="1"/>
    <col min="12810" max="13056" width="9.140625" style="8"/>
    <col min="13057" max="13057" width="13" style="8" customWidth="1"/>
    <col min="13058" max="13058" width="65.28515625" style="8" customWidth="1"/>
    <col min="13059" max="13059" width="23.42578125" style="8" customWidth="1"/>
    <col min="13060" max="13060" width="25.5703125" style="8" customWidth="1"/>
    <col min="13061" max="13061" width="21.140625" style="8" customWidth="1"/>
    <col min="13062" max="13062" width="21.5703125" style="8" customWidth="1"/>
    <col min="13063" max="13063" width="23.5703125" style="8" customWidth="1"/>
    <col min="13064" max="13064" width="18" style="8" customWidth="1"/>
    <col min="13065" max="13065" width="16.140625" style="8" customWidth="1"/>
    <col min="13066" max="13312" width="9.140625" style="8"/>
    <col min="13313" max="13313" width="13" style="8" customWidth="1"/>
    <col min="13314" max="13314" width="65.28515625" style="8" customWidth="1"/>
    <col min="13315" max="13315" width="23.42578125" style="8" customWidth="1"/>
    <col min="13316" max="13316" width="25.5703125" style="8" customWidth="1"/>
    <col min="13317" max="13317" width="21.140625" style="8" customWidth="1"/>
    <col min="13318" max="13318" width="21.5703125" style="8" customWidth="1"/>
    <col min="13319" max="13319" width="23.5703125" style="8" customWidth="1"/>
    <col min="13320" max="13320" width="18" style="8" customWidth="1"/>
    <col min="13321" max="13321" width="16.140625" style="8" customWidth="1"/>
    <col min="13322" max="13568" width="9.140625" style="8"/>
    <col min="13569" max="13569" width="13" style="8" customWidth="1"/>
    <col min="13570" max="13570" width="65.28515625" style="8" customWidth="1"/>
    <col min="13571" max="13571" width="23.42578125" style="8" customWidth="1"/>
    <col min="13572" max="13572" width="25.5703125" style="8" customWidth="1"/>
    <col min="13573" max="13573" width="21.140625" style="8" customWidth="1"/>
    <col min="13574" max="13574" width="21.5703125" style="8" customWidth="1"/>
    <col min="13575" max="13575" width="23.5703125" style="8" customWidth="1"/>
    <col min="13576" max="13576" width="18" style="8" customWidth="1"/>
    <col min="13577" max="13577" width="16.140625" style="8" customWidth="1"/>
    <col min="13578" max="13824" width="9.140625" style="8"/>
    <col min="13825" max="13825" width="13" style="8" customWidth="1"/>
    <col min="13826" max="13826" width="65.28515625" style="8" customWidth="1"/>
    <col min="13827" max="13827" width="23.42578125" style="8" customWidth="1"/>
    <col min="13828" max="13828" width="25.5703125" style="8" customWidth="1"/>
    <col min="13829" max="13829" width="21.140625" style="8" customWidth="1"/>
    <col min="13830" max="13830" width="21.5703125" style="8" customWidth="1"/>
    <col min="13831" max="13831" width="23.5703125" style="8" customWidth="1"/>
    <col min="13832" max="13832" width="18" style="8" customWidth="1"/>
    <col min="13833" max="13833" width="16.140625" style="8" customWidth="1"/>
    <col min="13834" max="14080" width="9.140625" style="8"/>
    <col min="14081" max="14081" width="13" style="8" customWidth="1"/>
    <col min="14082" max="14082" width="65.28515625" style="8" customWidth="1"/>
    <col min="14083" max="14083" width="23.42578125" style="8" customWidth="1"/>
    <col min="14084" max="14084" width="25.5703125" style="8" customWidth="1"/>
    <col min="14085" max="14085" width="21.140625" style="8" customWidth="1"/>
    <col min="14086" max="14086" width="21.5703125" style="8" customWidth="1"/>
    <col min="14087" max="14087" width="23.5703125" style="8" customWidth="1"/>
    <col min="14088" max="14088" width="18" style="8" customWidth="1"/>
    <col min="14089" max="14089" width="16.140625" style="8" customWidth="1"/>
    <col min="14090" max="14336" width="9.140625" style="8"/>
    <col min="14337" max="14337" width="13" style="8" customWidth="1"/>
    <col min="14338" max="14338" width="65.28515625" style="8" customWidth="1"/>
    <col min="14339" max="14339" width="23.42578125" style="8" customWidth="1"/>
    <col min="14340" max="14340" width="25.5703125" style="8" customWidth="1"/>
    <col min="14341" max="14341" width="21.140625" style="8" customWidth="1"/>
    <col min="14342" max="14342" width="21.5703125" style="8" customWidth="1"/>
    <col min="14343" max="14343" width="23.5703125" style="8" customWidth="1"/>
    <col min="14344" max="14344" width="18" style="8" customWidth="1"/>
    <col min="14345" max="14345" width="16.140625" style="8" customWidth="1"/>
    <col min="14346" max="14592" width="9.140625" style="8"/>
    <col min="14593" max="14593" width="13" style="8" customWidth="1"/>
    <col min="14594" max="14594" width="65.28515625" style="8" customWidth="1"/>
    <col min="14595" max="14595" width="23.42578125" style="8" customWidth="1"/>
    <col min="14596" max="14596" width="25.5703125" style="8" customWidth="1"/>
    <col min="14597" max="14597" width="21.140625" style="8" customWidth="1"/>
    <col min="14598" max="14598" width="21.5703125" style="8" customWidth="1"/>
    <col min="14599" max="14599" width="23.5703125" style="8" customWidth="1"/>
    <col min="14600" max="14600" width="18" style="8" customWidth="1"/>
    <col min="14601" max="14601" width="16.140625" style="8" customWidth="1"/>
    <col min="14602" max="14848" width="9.140625" style="8"/>
    <col min="14849" max="14849" width="13" style="8" customWidth="1"/>
    <col min="14850" max="14850" width="65.28515625" style="8" customWidth="1"/>
    <col min="14851" max="14851" width="23.42578125" style="8" customWidth="1"/>
    <col min="14852" max="14852" width="25.5703125" style="8" customWidth="1"/>
    <col min="14853" max="14853" width="21.140625" style="8" customWidth="1"/>
    <col min="14854" max="14854" width="21.5703125" style="8" customWidth="1"/>
    <col min="14855" max="14855" width="23.5703125" style="8" customWidth="1"/>
    <col min="14856" max="14856" width="18" style="8" customWidth="1"/>
    <col min="14857" max="14857" width="16.140625" style="8" customWidth="1"/>
    <col min="14858" max="15104" width="9.140625" style="8"/>
    <col min="15105" max="15105" width="13" style="8" customWidth="1"/>
    <col min="15106" max="15106" width="65.28515625" style="8" customWidth="1"/>
    <col min="15107" max="15107" width="23.42578125" style="8" customWidth="1"/>
    <col min="15108" max="15108" width="25.5703125" style="8" customWidth="1"/>
    <col min="15109" max="15109" width="21.140625" style="8" customWidth="1"/>
    <col min="15110" max="15110" width="21.5703125" style="8" customWidth="1"/>
    <col min="15111" max="15111" width="23.5703125" style="8" customWidth="1"/>
    <col min="15112" max="15112" width="18" style="8" customWidth="1"/>
    <col min="15113" max="15113" width="16.140625" style="8" customWidth="1"/>
    <col min="15114" max="15360" width="9.140625" style="8"/>
    <col min="15361" max="15361" width="13" style="8" customWidth="1"/>
    <col min="15362" max="15362" width="65.28515625" style="8" customWidth="1"/>
    <col min="15363" max="15363" width="23.42578125" style="8" customWidth="1"/>
    <col min="15364" max="15364" width="25.5703125" style="8" customWidth="1"/>
    <col min="15365" max="15365" width="21.140625" style="8" customWidth="1"/>
    <col min="15366" max="15366" width="21.5703125" style="8" customWidth="1"/>
    <col min="15367" max="15367" width="23.5703125" style="8" customWidth="1"/>
    <col min="15368" max="15368" width="18" style="8" customWidth="1"/>
    <col min="15369" max="15369" width="16.140625" style="8" customWidth="1"/>
    <col min="15370" max="15616" width="9.140625" style="8"/>
    <col min="15617" max="15617" width="13" style="8" customWidth="1"/>
    <col min="15618" max="15618" width="65.28515625" style="8" customWidth="1"/>
    <col min="15619" max="15619" width="23.42578125" style="8" customWidth="1"/>
    <col min="15620" max="15620" width="25.5703125" style="8" customWidth="1"/>
    <col min="15621" max="15621" width="21.140625" style="8" customWidth="1"/>
    <col min="15622" max="15622" width="21.5703125" style="8" customWidth="1"/>
    <col min="15623" max="15623" width="23.5703125" style="8" customWidth="1"/>
    <col min="15624" max="15624" width="18" style="8" customWidth="1"/>
    <col min="15625" max="15625" width="16.140625" style="8" customWidth="1"/>
    <col min="15626" max="15872" width="9.140625" style="8"/>
    <col min="15873" max="15873" width="13" style="8" customWidth="1"/>
    <col min="15874" max="15874" width="65.28515625" style="8" customWidth="1"/>
    <col min="15875" max="15875" width="23.42578125" style="8" customWidth="1"/>
    <col min="15876" max="15876" width="25.5703125" style="8" customWidth="1"/>
    <col min="15877" max="15877" width="21.140625" style="8" customWidth="1"/>
    <col min="15878" max="15878" width="21.5703125" style="8" customWidth="1"/>
    <col min="15879" max="15879" width="23.5703125" style="8" customWidth="1"/>
    <col min="15880" max="15880" width="18" style="8" customWidth="1"/>
    <col min="15881" max="15881" width="16.140625" style="8" customWidth="1"/>
    <col min="15882" max="16128" width="9.140625" style="8"/>
    <col min="16129" max="16129" width="13" style="8" customWidth="1"/>
    <col min="16130" max="16130" width="65.28515625" style="8" customWidth="1"/>
    <col min="16131" max="16131" width="23.42578125" style="8" customWidth="1"/>
    <col min="16132" max="16132" width="25.5703125" style="8" customWidth="1"/>
    <col min="16133" max="16133" width="21.140625" style="8" customWidth="1"/>
    <col min="16134" max="16134" width="21.5703125" style="8" customWidth="1"/>
    <col min="16135" max="16135" width="23.5703125" style="8" customWidth="1"/>
    <col min="16136" max="16136" width="18" style="8" customWidth="1"/>
    <col min="16137" max="16137" width="16.140625" style="8" customWidth="1"/>
    <col min="16138" max="16384" width="9.140625" style="8"/>
  </cols>
  <sheetData>
    <row r="1" spans="1:17" s="7" customFormat="1" ht="73.5" customHeight="1" x14ac:dyDescent="0.25">
      <c r="A1" s="1"/>
      <c r="B1" s="2"/>
      <c r="C1" s="587" t="s">
        <v>812</v>
      </c>
      <c r="D1" s="587"/>
      <c r="E1" s="587"/>
      <c r="F1" s="587"/>
      <c r="G1" s="3"/>
      <c r="H1" s="4"/>
      <c r="I1" s="5"/>
      <c r="J1" s="6"/>
      <c r="K1" s="6"/>
      <c r="L1" s="6"/>
      <c r="M1" s="6"/>
      <c r="N1" s="6"/>
      <c r="O1" s="6"/>
      <c r="P1" s="6"/>
      <c r="Q1" s="6"/>
    </row>
    <row r="2" spans="1:17" s="7" customFormat="1" ht="18.75" customHeight="1" x14ac:dyDescent="0.25">
      <c r="A2" s="1"/>
      <c r="B2" s="2"/>
      <c r="C2" s="8" t="s">
        <v>717</v>
      </c>
      <c r="D2" s="9"/>
      <c r="E2" s="9"/>
      <c r="F2" s="9"/>
      <c r="G2" s="3"/>
      <c r="H2" s="4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7.75" customHeight="1" x14ac:dyDescent="0.3">
      <c r="A3" s="671" t="s">
        <v>0</v>
      </c>
      <c r="B3" s="672"/>
      <c r="C3" s="672"/>
      <c r="D3" s="672"/>
      <c r="E3" s="672"/>
      <c r="F3" s="672"/>
      <c r="G3" s="4"/>
      <c r="H3" s="4"/>
      <c r="I3" s="5"/>
      <c r="J3" s="6"/>
      <c r="K3" s="6"/>
      <c r="L3" s="6"/>
      <c r="M3" s="6"/>
      <c r="N3" s="6"/>
      <c r="O3" s="6"/>
      <c r="P3" s="6"/>
      <c r="Q3" s="6"/>
    </row>
    <row r="4" spans="1:17" s="11" customFormat="1" ht="21.75" customHeight="1" x14ac:dyDescent="0.3">
      <c r="A4" s="671" t="s">
        <v>1</v>
      </c>
      <c r="B4" s="671"/>
      <c r="C4" s="671"/>
      <c r="D4" s="671"/>
      <c r="E4" s="671"/>
      <c r="F4" s="671"/>
    </row>
    <row r="5" spans="1:17" s="11" customFormat="1" ht="60.75" customHeight="1" x14ac:dyDescent="0.3">
      <c r="A5" s="673" t="s">
        <v>2</v>
      </c>
      <c r="B5" s="673"/>
      <c r="C5" s="673"/>
      <c r="D5" s="673"/>
      <c r="E5" s="673"/>
      <c r="F5" s="673"/>
    </row>
    <row r="6" spans="1:17" s="12" customFormat="1" ht="24.95" customHeight="1" x14ac:dyDescent="0.3">
      <c r="A6" s="674" t="s">
        <v>3</v>
      </c>
      <c r="B6" s="674"/>
      <c r="C6" s="674"/>
      <c r="D6" s="674"/>
      <c r="E6" s="674"/>
      <c r="F6" s="674"/>
    </row>
    <row r="7" spans="1:17" s="7" customFormat="1" ht="24.95" customHeight="1" x14ac:dyDescent="0.25">
      <c r="A7" s="670" t="s">
        <v>4</v>
      </c>
      <c r="B7" s="670"/>
      <c r="C7" s="670"/>
      <c r="D7" s="670"/>
      <c r="E7" s="670"/>
      <c r="F7" s="67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s="7" customFormat="1" ht="24.95" customHeight="1" x14ac:dyDescent="0.25">
      <c r="A8" s="10"/>
      <c r="B8" s="13"/>
      <c r="C8" s="10"/>
      <c r="D8" s="14"/>
      <c r="F8" s="15" t="s">
        <v>5</v>
      </c>
      <c r="G8" s="14"/>
    </row>
    <row r="9" spans="1:17" s="18" customFormat="1" ht="24.95" customHeight="1" x14ac:dyDescent="0.25">
      <c r="A9" s="675" t="s">
        <v>6</v>
      </c>
      <c r="B9" s="676" t="s">
        <v>7</v>
      </c>
      <c r="C9" s="675" t="s">
        <v>8</v>
      </c>
      <c r="D9" s="677" t="s">
        <v>9</v>
      </c>
      <c r="E9" s="675" t="s">
        <v>10</v>
      </c>
      <c r="F9" s="675"/>
      <c r="G9" s="16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s="18" customFormat="1" ht="50.25" customHeight="1" x14ac:dyDescent="0.25">
      <c r="A10" s="675"/>
      <c r="B10" s="676"/>
      <c r="C10" s="675"/>
      <c r="D10" s="678"/>
      <c r="E10" s="19" t="s">
        <v>11</v>
      </c>
      <c r="F10" s="20" t="s">
        <v>12</v>
      </c>
      <c r="G10" s="16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s="18" customFormat="1" ht="18.75" customHeight="1" x14ac:dyDescent="0.25">
      <c r="A11" s="19">
        <v>1</v>
      </c>
      <c r="B11" s="20">
        <v>2</v>
      </c>
      <c r="C11" s="19">
        <v>3</v>
      </c>
      <c r="D11" s="21">
        <v>4</v>
      </c>
      <c r="E11" s="19">
        <v>5</v>
      </c>
      <c r="F11" s="20">
        <v>6</v>
      </c>
      <c r="G11" s="16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s="18" customFormat="1" ht="24.95" customHeight="1" x14ac:dyDescent="0.25">
      <c r="A12" s="22">
        <v>10000000</v>
      </c>
      <c r="B12" s="23" t="s">
        <v>13</v>
      </c>
      <c r="C12" s="24">
        <f t="shared" ref="C12:C80" si="0">D12+E12</f>
        <v>1572999669</v>
      </c>
      <c r="D12" s="25">
        <f>D13+D26+D34+D53+D21</f>
        <v>1572836069</v>
      </c>
      <c r="E12" s="25">
        <f>E13+E26+E34+E53</f>
        <v>163600</v>
      </c>
      <c r="F12" s="25"/>
      <c r="G12" s="26"/>
    </row>
    <row r="13" spans="1:17" s="18" customFormat="1" ht="38.25" customHeight="1" x14ac:dyDescent="0.25">
      <c r="A13" s="22">
        <v>11000000</v>
      </c>
      <c r="B13" s="27" t="s">
        <v>14</v>
      </c>
      <c r="C13" s="24">
        <f t="shared" si="0"/>
        <v>1241669317</v>
      </c>
      <c r="D13" s="25">
        <f>D14+D19</f>
        <v>1241669317</v>
      </c>
      <c r="E13" s="25">
        <f>E14+E19</f>
        <v>0</v>
      </c>
      <c r="F13" s="25"/>
      <c r="G13" s="26"/>
    </row>
    <row r="14" spans="1:17" s="18" customFormat="1" ht="31.5" customHeight="1" x14ac:dyDescent="0.25">
      <c r="A14" s="22">
        <v>11010000</v>
      </c>
      <c r="B14" s="27" t="s">
        <v>15</v>
      </c>
      <c r="C14" s="24">
        <f t="shared" si="0"/>
        <v>1239122117</v>
      </c>
      <c r="D14" s="25">
        <f>SUM(D15:D18)</f>
        <v>1239122117</v>
      </c>
      <c r="E14" s="25"/>
      <c r="F14" s="25"/>
      <c r="G14" s="26"/>
    </row>
    <row r="15" spans="1:17" s="7" customFormat="1" ht="41.25" customHeight="1" x14ac:dyDescent="0.25">
      <c r="A15" s="28">
        <v>11010100</v>
      </c>
      <c r="B15" s="29" t="s">
        <v>16</v>
      </c>
      <c r="C15" s="30">
        <f t="shared" si="0"/>
        <v>525922400</v>
      </c>
      <c r="D15" s="30">
        <v>525922400</v>
      </c>
      <c r="E15" s="30"/>
      <c r="F15" s="30"/>
      <c r="G15" s="14"/>
      <c r="I15" s="31"/>
    </row>
    <row r="16" spans="1:17" s="7" customFormat="1" ht="64.5" customHeight="1" x14ac:dyDescent="0.25">
      <c r="A16" s="28">
        <v>11010200</v>
      </c>
      <c r="B16" s="29" t="s">
        <v>17</v>
      </c>
      <c r="C16" s="30">
        <f t="shared" si="0"/>
        <v>693825467</v>
      </c>
      <c r="D16" s="445">
        <f>615845619+'dod 1 '!D15</f>
        <v>693825467</v>
      </c>
      <c r="E16" s="30"/>
      <c r="F16" s="30"/>
      <c r="G16" s="14"/>
    </row>
    <row r="17" spans="1:7" s="7" customFormat="1" ht="36.75" customHeight="1" x14ac:dyDescent="0.25">
      <c r="A17" s="28">
        <v>11010400</v>
      </c>
      <c r="B17" s="29" t="s">
        <v>18</v>
      </c>
      <c r="C17" s="30">
        <f t="shared" si="0"/>
        <v>10629250</v>
      </c>
      <c r="D17" s="48">
        <v>10629250</v>
      </c>
      <c r="E17" s="30"/>
      <c r="F17" s="30"/>
      <c r="G17" s="14"/>
    </row>
    <row r="18" spans="1:7" s="7" customFormat="1" ht="43.5" customHeight="1" x14ac:dyDescent="0.25">
      <c r="A18" s="28">
        <v>11010500</v>
      </c>
      <c r="B18" s="29" t="s">
        <v>19</v>
      </c>
      <c r="C18" s="30">
        <f t="shared" si="0"/>
        <v>8745000</v>
      </c>
      <c r="D18" s="30">
        <v>8745000</v>
      </c>
      <c r="E18" s="30"/>
      <c r="F18" s="30"/>
      <c r="G18" s="14"/>
    </row>
    <row r="19" spans="1:7" s="18" customFormat="1" ht="19.5" customHeight="1" x14ac:dyDescent="0.25">
      <c r="A19" s="22">
        <v>11020000</v>
      </c>
      <c r="B19" s="27" t="s">
        <v>20</v>
      </c>
      <c r="C19" s="24">
        <f t="shared" si="0"/>
        <v>2547200</v>
      </c>
      <c r="D19" s="25">
        <f>D20</f>
        <v>2547200</v>
      </c>
      <c r="E19" s="24"/>
      <c r="F19" s="24"/>
      <c r="G19" s="26"/>
    </row>
    <row r="20" spans="1:7" s="7" customFormat="1" ht="39.75" customHeight="1" x14ac:dyDescent="0.25">
      <c r="A20" s="28">
        <v>11020200</v>
      </c>
      <c r="B20" s="32" t="s">
        <v>21</v>
      </c>
      <c r="C20" s="30">
        <f t="shared" si="0"/>
        <v>2547200</v>
      </c>
      <c r="D20" s="33">
        <v>2547200</v>
      </c>
      <c r="E20" s="30"/>
      <c r="F20" s="30"/>
      <c r="G20" s="14"/>
    </row>
    <row r="21" spans="1:7" s="18" customFormat="1" ht="33.75" customHeight="1" x14ac:dyDescent="0.25">
      <c r="A21" s="34">
        <v>13000000</v>
      </c>
      <c r="B21" s="35" t="s">
        <v>22</v>
      </c>
      <c r="C21" s="24">
        <f t="shared" si="0"/>
        <v>529300</v>
      </c>
      <c r="D21" s="25">
        <f>D22+D24</f>
        <v>529300</v>
      </c>
      <c r="E21" s="24"/>
      <c r="F21" s="24"/>
      <c r="G21" s="26"/>
    </row>
    <row r="22" spans="1:7" s="18" customFormat="1" ht="33.75" customHeight="1" x14ac:dyDescent="0.25">
      <c r="A22" s="34">
        <v>13010000</v>
      </c>
      <c r="B22" s="35" t="s">
        <v>23</v>
      </c>
      <c r="C22" s="24">
        <f t="shared" si="0"/>
        <v>504300</v>
      </c>
      <c r="D22" s="25">
        <f>D23</f>
        <v>504300</v>
      </c>
      <c r="E22" s="24"/>
      <c r="F22" s="24"/>
      <c r="G22" s="26"/>
    </row>
    <row r="23" spans="1:7" s="7" customFormat="1" ht="64.5" customHeight="1" x14ac:dyDescent="0.25">
      <c r="A23" s="36">
        <v>13010200</v>
      </c>
      <c r="B23" s="37" t="s">
        <v>24</v>
      </c>
      <c r="C23" s="30">
        <f t="shared" si="0"/>
        <v>504300</v>
      </c>
      <c r="D23" s="33">
        <v>504300</v>
      </c>
      <c r="E23" s="30"/>
      <c r="F23" s="30"/>
      <c r="G23" s="14"/>
    </row>
    <row r="24" spans="1:7" s="18" customFormat="1" ht="33.75" customHeight="1" x14ac:dyDescent="0.25">
      <c r="A24" s="34">
        <v>13030000</v>
      </c>
      <c r="B24" s="35" t="s">
        <v>25</v>
      </c>
      <c r="C24" s="24">
        <f t="shared" si="0"/>
        <v>25000</v>
      </c>
      <c r="D24" s="25">
        <f>D25</f>
        <v>25000</v>
      </c>
      <c r="E24" s="24"/>
      <c r="F24" s="24"/>
      <c r="G24" s="26"/>
    </row>
    <row r="25" spans="1:7" s="7" customFormat="1" ht="48.75" customHeight="1" x14ac:dyDescent="0.25">
      <c r="A25" s="36">
        <v>13030100</v>
      </c>
      <c r="B25" s="37" t="s">
        <v>26</v>
      </c>
      <c r="C25" s="30">
        <f t="shared" si="0"/>
        <v>25000</v>
      </c>
      <c r="D25" s="33">
        <v>25000</v>
      </c>
      <c r="E25" s="30"/>
      <c r="F25" s="30"/>
      <c r="G25" s="14"/>
    </row>
    <row r="26" spans="1:7" s="18" customFormat="1" ht="21.75" customHeight="1" x14ac:dyDescent="0.25">
      <c r="A26" s="22">
        <v>14000000</v>
      </c>
      <c r="B26" s="38" t="s">
        <v>27</v>
      </c>
      <c r="C26" s="24">
        <f t="shared" si="0"/>
        <v>137397300</v>
      </c>
      <c r="D26" s="25">
        <f>D31+D27+D29</f>
        <v>137397300</v>
      </c>
      <c r="E26" s="24"/>
      <c r="F26" s="24"/>
      <c r="G26" s="26"/>
    </row>
    <row r="27" spans="1:7" s="18" customFormat="1" ht="33.75" customHeight="1" x14ac:dyDescent="0.25">
      <c r="A27" s="39">
        <v>14020000</v>
      </c>
      <c r="B27" s="27" t="s">
        <v>28</v>
      </c>
      <c r="C27" s="24">
        <f t="shared" si="0"/>
        <v>2939700</v>
      </c>
      <c r="D27" s="25">
        <f>D28</f>
        <v>2939700</v>
      </c>
      <c r="E27" s="24"/>
      <c r="F27" s="24"/>
      <c r="G27" s="26"/>
    </row>
    <row r="28" spans="1:7" s="7" customFormat="1" ht="33.75" customHeight="1" x14ac:dyDescent="0.25">
      <c r="A28" s="40">
        <v>14021900</v>
      </c>
      <c r="B28" s="29" t="s">
        <v>29</v>
      </c>
      <c r="C28" s="30">
        <f t="shared" si="0"/>
        <v>2939700</v>
      </c>
      <c r="D28" s="33">
        <v>2939700</v>
      </c>
      <c r="E28" s="30"/>
      <c r="F28" s="30"/>
      <c r="G28" s="14"/>
    </row>
    <row r="29" spans="1:7" s="18" customFormat="1" ht="33.75" customHeight="1" x14ac:dyDescent="0.25">
      <c r="A29" s="39">
        <v>14030000</v>
      </c>
      <c r="B29" s="27" t="s">
        <v>30</v>
      </c>
      <c r="C29" s="24">
        <f t="shared" si="0"/>
        <v>10284600</v>
      </c>
      <c r="D29" s="25">
        <f>D30</f>
        <v>10284600</v>
      </c>
      <c r="E29" s="24"/>
      <c r="F29" s="24"/>
      <c r="G29" s="26"/>
    </row>
    <row r="30" spans="1:7" s="7" customFormat="1" ht="33.75" customHeight="1" x14ac:dyDescent="0.25">
      <c r="A30" s="40">
        <v>14031900</v>
      </c>
      <c r="B30" s="29" t="s">
        <v>29</v>
      </c>
      <c r="C30" s="30">
        <f t="shared" si="0"/>
        <v>10284600</v>
      </c>
      <c r="D30" s="33">
        <v>10284600</v>
      </c>
      <c r="E30" s="30"/>
      <c r="F30" s="30"/>
      <c r="G30" s="14"/>
    </row>
    <row r="31" spans="1:7" s="18" customFormat="1" ht="33.75" customHeight="1" x14ac:dyDescent="0.25">
      <c r="A31" s="22">
        <v>14040000</v>
      </c>
      <c r="B31" s="27" t="s">
        <v>31</v>
      </c>
      <c r="C31" s="24">
        <f t="shared" si="0"/>
        <v>124173000</v>
      </c>
      <c r="D31" s="25">
        <f>D32+D33</f>
        <v>124173000</v>
      </c>
      <c r="E31" s="24"/>
      <c r="F31" s="24"/>
      <c r="G31" s="26"/>
    </row>
    <row r="32" spans="1:7" s="10" customFormat="1" ht="85.5" customHeight="1" x14ac:dyDescent="0.25">
      <c r="A32" s="41">
        <v>14040100</v>
      </c>
      <c r="B32" s="42" t="s">
        <v>729</v>
      </c>
      <c r="C32" s="30">
        <f t="shared" si="0"/>
        <v>79630000</v>
      </c>
      <c r="D32" s="33">
        <v>79630000</v>
      </c>
      <c r="E32" s="30"/>
      <c r="F32" s="30"/>
      <c r="G32" s="14"/>
    </row>
    <row r="33" spans="1:7" s="10" customFormat="1" ht="72.75" customHeight="1" x14ac:dyDescent="0.25">
      <c r="A33" s="41">
        <v>14040200</v>
      </c>
      <c r="B33" s="42" t="s">
        <v>32</v>
      </c>
      <c r="C33" s="30">
        <f t="shared" si="0"/>
        <v>44543000</v>
      </c>
      <c r="D33" s="33">
        <v>44543000</v>
      </c>
      <c r="E33" s="30"/>
      <c r="F33" s="30"/>
      <c r="G33" s="14"/>
    </row>
    <row r="34" spans="1:7" s="18" customFormat="1" ht="40.5" customHeight="1" x14ac:dyDescent="0.25">
      <c r="A34" s="22">
        <v>18000000</v>
      </c>
      <c r="B34" s="27" t="s">
        <v>33</v>
      </c>
      <c r="C34" s="24">
        <f t="shared" si="0"/>
        <v>193240152</v>
      </c>
      <c r="D34" s="25">
        <f>D35+D46+D49</f>
        <v>193240152</v>
      </c>
      <c r="E34" s="25"/>
      <c r="F34" s="25"/>
      <c r="G34" s="26"/>
    </row>
    <row r="35" spans="1:7" s="18" customFormat="1" ht="28.5" customHeight="1" x14ac:dyDescent="0.25">
      <c r="A35" s="22">
        <v>18010000</v>
      </c>
      <c r="B35" s="27" t="s">
        <v>34</v>
      </c>
      <c r="C35" s="24">
        <f t="shared" si="0"/>
        <v>74954442</v>
      </c>
      <c r="D35" s="25">
        <f>SUM(D36:D45)</f>
        <v>74954442</v>
      </c>
      <c r="E35" s="24"/>
      <c r="F35" s="24"/>
      <c r="G35" s="26"/>
    </row>
    <row r="36" spans="1:7" s="7" customFormat="1" ht="55.5" customHeight="1" x14ac:dyDescent="0.25">
      <c r="A36" s="28">
        <v>18010100</v>
      </c>
      <c r="B36" s="29" t="s">
        <v>35</v>
      </c>
      <c r="C36" s="30">
        <f t="shared" si="0"/>
        <v>325600</v>
      </c>
      <c r="D36" s="33">
        <v>325600</v>
      </c>
      <c r="E36" s="30"/>
      <c r="F36" s="30"/>
      <c r="G36" s="14"/>
    </row>
    <row r="37" spans="1:7" s="7" customFormat="1" ht="60.75" customHeight="1" x14ac:dyDescent="0.25">
      <c r="A37" s="28">
        <v>18010200</v>
      </c>
      <c r="B37" s="29" t="s">
        <v>36</v>
      </c>
      <c r="C37" s="30">
        <f t="shared" si="0"/>
        <v>1737300</v>
      </c>
      <c r="D37" s="33">
        <v>1737300</v>
      </c>
      <c r="E37" s="30"/>
      <c r="F37" s="30"/>
      <c r="G37" s="14"/>
    </row>
    <row r="38" spans="1:7" s="7" customFormat="1" ht="54" customHeight="1" x14ac:dyDescent="0.25">
      <c r="A38" s="28">
        <v>18010300</v>
      </c>
      <c r="B38" s="29" t="s">
        <v>37</v>
      </c>
      <c r="C38" s="30">
        <f t="shared" si="0"/>
        <v>3275100</v>
      </c>
      <c r="D38" s="33">
        <v>3275100</v>
      </c>
      <c r="E38" s="30"/>
      <c r="F38" s="30"/>
      <c r="G38" s="14"/>
    </row>
    <row r="39" spans="1:7" s="7" customFormat="1" ht="53.25" customHeight="1" x14ac:dyDescent="0.25">
      <c r="A39" s="28">
        <v>18010400</v>
      </c>
      <c r="B39" s="29" t="s">
        <v>38</v>
      </c>
      <c r="C39" s="30">
        <f t="shared" si="0"/>
        <v>10312500</v>
      </c>
      <c r="D39" s="33">
        <v>10312500</v>
      </c>
      <c r="E39" s="30"/>
      <c r="F39" s="30"/>
      <c r="G39" s="14"/>
    </row>
    <row r="40" spans="1:7" s="7" customFormat="1" ht="33" customHeight="1" x14ac:dyDescent="0.25">
      <c r="A40" s="28">
        <v>18010500</v>
      </c>
      <c r="B40" s="29" t="s">
        <v>39</v>
      </c>
      <c r="C40" s="30">
        <f t="shared" si="0"/>
        <v>37408700</v>
      </c>
      <c r="D40" s="33">
        <v>37408700</v>
      </c>
      <c r="E40" s="30"/>
      <c r="F40" s="30"/>
      <c r="G40" s="14"/>
    </row>
    <row r="41" spans="1:7" s="7" customFormat="1" ht="26.25" customHeight="1" x14ac:dyDescent="0.25">
      <c r="A41" s="28">
        <v>18010600</v>
      </c>
      <c r="B41" s="29" t="s">
        <v>40</v>
      </c>
      <c r="C41" s="30">
        <f t="shared" si="0"/>
        <v>15750000</v>
      </c>
      <c r="D41" s="33">
        <v>15750000</v>
      </c>
      <c r="E41" s="30"/>
      <c r="F41" s="30"/>
      <c r="G41" s="14"/>
    </row>
    <row r="42" spans="1:7" s="7" customFormat="1" ht="27" customHeight="1" x14ac:dyDescent="0.25">
      <c r="A42" s="28">
        <v>18010700</v>
      </c>
      <c r="B42" s="29" t="s">
        <v>41</v>
      </c>
      <c r="C42" s="30">
        <f t="shared" si="0"/>
        <v>3924600</v>
      </c>
      <c r="D42" s="33">
        <v>3924600</v>
      </c>
      <c r="E42" s="30"/>
      <c r="F42" s="30"/>
      <c r="G42" s="14"/>
    </row>
    <row r="43" spans="1:7" s="7" customFormat="1" ht="26.25" customHeight="1" x14ac:dyDescent="0.25">
      <c r="A43" s="28">
        <v>18010900</v>
      </c>
      <c r="B43" s="29" t="s">
        <v>42</v>
      </c>
      <c r="C43" s="30">
        <f t="shared" si="0"/>
        <v>1938600</v>
      </c>
      <c r="D43" s="33">
        <v>1938600</v>
      </c>
      <c r="E43" s="30"/>
      <c r="F43" s="30"/>
      <c r="G43" s="14"/>
    </row>
    <row r="44" spans="1:7" s="7" customFormat="1" ht="27.75" customHeight="1" x14ac:dyDescent="0.25">
      <c r="A44" s="28">
        <v>18011000</v>
      </c>
      <c r="B44" s="29" t="s">
        <v>43</v>
      </c>
      <c r="C44" s="30">
        <f t="shared" si="0"/>
        <v>27876</v>
      </c>
      <c r="D44" s="33">
        <v>27876</v>
      </c>
      <c r="E44" s="30"/>
      <c r="F44" s="30"/>
      <c r="G44" s="14"/>
    </row>
    <row r="45" spans="1:7" s="7" customFormat="1" ht="30" customHeight="1" x14ac:dyDescent="0.25">
      <c r="A45" s="28">
        <v>18011100</v>
      </c>
      <c r="B45" s="29" t="s">
        <v>44</v>
      </c>
      <c r="C45" s="30">
        <f t="shared" si="0"/>
        <v>254166</v>
      </c>
      <c r="D45" s="33">
        <v>254166</v>
      </c>
      <c r="E45" s="30"/>
      <c r="F45" s="30"/>
      <c r="G45" s="14"/>
    </row>
    <row r="46" spans="1:7" s="18" customFormat="1" ht="24.95" customHeight="1" x14ac:dyDescent="0.25">
      <c r="A46" s="22">
        <v>18030000</v>
      </c>
      <c r="B46" s="27" t="s">
        <v>45</v>
      </c>
      <c r="C46" s="24">
        <f t="shared" si="0"/>
        <v>992410</v>
      </c>
      <c r="D46" s="25">
        <f>D47+D48</f>
        <v>992410</v>
      </c>
      <c r="E46" s="24"/>
      <c r="F46" s="24"/>
      <c r="G46" s="26"/>
    </row>
    <row r="47" spans="1:7" s="7" customFormat="1" ht="21" customHeight="1" x14ac:dyDescent="0.25">
      <c r="A47" s="28">
        <v>18030100</v>
      </c>
      <c r="B47" s="29" t="s">
        <v>46</v>
      </c>
      <c r="C47" s="30">
        <f t="shared" si="0"/>
        <v>683670</v>
      </c>
      <c r="D47" s="33">
        <v>683670</v>
      </c>
      <c r="E47" s="30"/>
      <c r="F47" s="30"/>
      <c r="G47" s="14"/>
    </row>
    <row r="48" spans="1:7" s="7" customFormat="1" ht="21" customHeight="1" x14ac:dyDescent="0.25">
      <c r="A48" s="28">
        <v>18030200</v>
      </c>
      <c r="B48" s="29" t="s">
        <v>47</v>
      </c>
      <c r="C48" s="30">
        <f t="shared" si="0"/>
        <v>308740</v>
      </c>
      <c r="D48" s="33">
        <v>308740</v>
      </c>
      <c r="E48" s="30"/>
      <c r="F48" s="30"/>
      <c r="G48" s="14"/>
    </row>
    <row r="49" spans="1:7" s="18" customFormat="1" ht="24.95" customHeight="1" x14ac:dyDescent="0.25">
      <c r="A49" s="22">
        <v>18050000</v>
      </c>
      <c r="B49" s="27" t="s">
        <v>48</v>
      </c>
      <c r="C49" s="24">
        <f t="shared" si="0"/>
        <v>117293300</v>
      </c>
      <c r="D49" s="25">
        <f>D50+D51+D52</f>
        <v>117293300</v>
      </c>
      <c r="E49" s="24"/>
      <c r="F49" s="24"/>
      <c r="G49" s="26"/>
    </row>
    <row r="50" spans="1:7" s="7" customFormat="1" ht="24.95" customHeight="1" x14ac:dyDescent="0.25">
      <c r="A50" s="28">
        <v>18050300</v>
      </c>
      <c r="B50" s="29" t="s">
        <v>49</v>
      </c>
      <c r="C50" s="30">
        <f t="shared" si="0"/>
        <v>15700000</v>
      </c>
      <c r="D50" s="33">
        <v>15700000</v>
      </c>
      <c r="E50" s="30"/>
      <c r="F50" s="30"/>
      <c r="G50" s="14"/>
    </row>
    <row r="51" spans="1:7" s="7" customFormat="1" ht="24.95" customHeight="1" x14ac:dyDescent="0.25">
      <c r="A51" s="28">
        <v>18050400</v>
      </c>
      <c r="B51" s="29" t="s">
        <v>50</v>
      </c>
      <c r="C51" s="30">
        <f t="shared" si="0"/>
        <v>100993300</v>
      </c>
      <c r="D51" s="33">
        <v>100993300</v>
      </c>
      <c r="E51" s="30"/>
      <c r="F51" s="30"/>
      <c r="G51" s="14"/>
    </row>
    <row r="52" spans="1:7" s="7" customFormat="1" ht="72" customHeight="1" x14ac:dyDescent="0.25">
      <c r="A52" s="28">
        <v>18050500</v>
      </c>
      <c r="B52" s="43" t="s">
        <v>51</v>
      </c>
      <c r="C52" s="30">
        <f t="shared" si="0"/>
        <v>600000</v>
      </c>
      <c r="D52" s="33">
        <v>600000</v>
      </c>
      <c r="E52" s="30"/>
      <c r="F52" s="30"/>
      <c r="G52" s="14"/>
    </row>
    <row r="53" spans="1:7" s="18" customFormat="1" ht="25.5" customHeight="1" x14ac:dyDescent="0.25">
      <c r="A53" s="22">
        <v>19000000</v>
      </c>
      <c r="B53" s="27" t="s">
        <v>52</v>
      </c>
      <c r="C53" s="24">
        <f t="shared" si="0"/>
        <v>163600</v>
      </c>
      <c r="D53" s="25">
        <f>D54</f>
        <v>0</v>
      </c>
      <c r="E53" s="25">
        <f>E54</f>
        <v>163600</v>
      </c>
      <c r="F53" s="24"/>
      <c r="G53" s="26"/>
    </row>
    <row r="54" spans="1:7" s="18" customFormat="1" ht="24.95" customHeight="1" x14ac:dyDescent="0.25">
      <c r="A54" s="22">
        <v>19010000</v>
      </c>
      <c r="B54" s="27" t="s">
        <v>53</v>
      </c>
      <c r="C54" s="24">
        <f t="shared" si="0"/>
        <v>163600</v>
      </c>
      <c r="D54" s="25">
        <f>D55+D56+D57</f>
        <v>0</v>
      </c>
      <c r="E54" s="25">
        <f>E55+E56+E57</f>
        <v>163600</v>
      </c>
      <c r="F54" s="24"/>
      <c r="G54" s="26"/>
    </row>
    <row r="55" spans="1:7" s="7" customFormat="1" ht="69" customHeight="1" x14ac:dyDescent="0.25">
      <c r="A55" s="28">
        <v>19010100</v>
      </c>
      <c r="B55" s="44" t="s">
        <v>54</v>
      </c>
      <c r="C55" s="30">
        <f t="shared" si="0"/>
        <v>49600</v>
      </c>
      <c r="D55" s="33"/>
      <c r="E55" s="30">
        <v>49600</v>
      </c>
      <c r="F55" s="30"/>
      <c r="G55" s="14"/>
    </row>
    <row r="56" spans="1:7" s="7" customFormat="1" ht="51.75" customHeight="1" x14ac:dyDescent="0.25">
      <c r="A56" s="28">
        <v>19010200</v>
      </c>
      <c r="B56" s="44" t="s">
        <v>55</v>
      </c>
      <c r="C56" s="30">
        <f t="shared" si="0"/>
        <v>78800</v>
      </c>
      <c r="D56" s="33"/>
      <c r="E56" s="30">
        <v>78800</v>
      </c>
      <c r="F56" s="30"/>
      <c r="G56" s="14"/>
    </row>
    <row r="57" spans="1:7" s="7" customFormat="1" ht="54" customHeight="1" x14ac:dyDescent="0.25">
      <c r="A57" s="28">
        <v>19010300</v>
      </c>
      <c r="B57" s="44" t="s">
        <v>56</v>
      </c>
      <c r="C57" s="30">
        <f t="shared" si="0"/>
        <v>35200</v>
      </c>
      <c r="D57" s="33"/>
      <c r="E57" s="30">
        <v>35200</v>
      </c>
      <c r="F57" s="30"/>
      <c r="G57" s="14"/>
    </row>
    <row r="58" spans="1:7" s="18" customFormat="1" ht="24.95" customHeight="1" x14ac:dyDescent="0.25">
      <c r="A58" s="22">
        <v>20000000</v>
      </c>
      <c r="B58" s="27" t="s">
        <v>57</v>
      </c>
      <c r="C58" s="24">
        <f t="shared" si="0"/>
        <v>71267726</v>
      </c>
      <c r="D58" s="25">
        <f>D59+D67+D79+D85+D78</f>
        <v>19540521</v>
      </c>
      <c r="E58" s="25">
        <f>E59+E67+E79+E85</f>
        <v>51727205</v>
      </c>
      <c r="F58" s="25">
        <f>F59+F67+F79+F85</f>
        <v>0</v>
      </c>
      <c r="G58" s="26"/>
    </row>
    <row r="59" spans="1:7" s="18" customFormat="1" ht="24.95" customHeight="1" x14ac:dyDescent="0.25">
      <c r="A59" s="22">
        <v>21000000</v>
      </c>
      <c r="B59" s="27" t="s">
        <v>58</v>
      </c>
      <c r="C59" s="24">
        <f t="shared" si="0"/>
        <v>9382000</v>
      </c>
      <c r="D59" s="25">
        <f>D60+D62</f>
        <v>9302000</v>
      </c>
      <c r="E59" s="25">
        <f>E60+E62+E66</f>
        <v>80000</v>
      </c>
      <c r="F59" s="25">
        <f>F62+F66</f>
        <v>0</v>
      </c>
      <c r="G59" s="26"/>
    </row>
    <row r="60" spans="1:7" s="18" customFormat="1" ht="105" customHeight="1" x14ac:dyDescent="0.25">
      <c r="A60" s="39">
        <v>21010000</v>
      </c>
      <c r="B60" s="27" t="s">
        <v>59</v>
      </c>
      <c r="C60" s="24">
        <f t="shared" si="0"/>
        <v>6059600</v>
      </c>
      <c r="D60" s="25">
        <f>D61</f>
        <v>6059600</v>
      </c>
      <c r="E60" s="25"/>
      <c r="F60" s="25"/>
      <c r="G60" s="26"/>
    </row>
    <row r="61" spans="1:7" s="7" customFormat="1" ht="60" customHeight="1" x14ac:dyDescent="0.25">
      <c r="A61" s="28">
        <v>21010300</v>
      </c>
      <c r="B61" s="29" t="s">
        <v>60</v>
      </c>
      <c r="C61" s="30">
        <f t="shared" si="0"/>
        <v>6059600</v>
      </c>
      <c r="D61" s="33">
        <v>6059600</v>
      </c>
      <c r="E61" s="33"/>
      <c r="F61" s="33"/>
      <c r="G61" s="14"/>
    </row>
    <row r="62" spans="1:7" s="18" customFormat="1" ht="20.25" customHeight="1" x14ac:dyDescent="0.25">
      <c r="A62" s="22">
        <v>21080000</v>
      </c>
      <c r="B62" s="27" t="s">
        <v>61</v>
      </c>
      <c r="C62" s="24">
        <f t="shared" si="0"/>
        <v>3242400</v>
      </c>
      <c r="D62" s="25">
        <f>D63+D64+D65</f>
        <v>3242400</v>
      </c>
      <c r="E62" s="25">
        <f>E63+E64+E65</f>
        <v>0</v>
      </c>
      <c r="F62" s="25">
        <f>F63+F64+F65</f>
        <v>0</v>
      </c>
      <c r="G62" s="26"/>
    </row>
    <row r="63" spans="1:7" s="7" customFormat="1" ht="30" customHeight="1" x14ac:dyDescent="0.25">
      <c r="A63" s="28">
        <v>21081100</v>
      </c>
      <c r="B63" s="29" t="s">
        <v>62</v>
      </c>
      <c r="C63" s="30">
        <f t="shared" si="0"/>
        <v>2149100</v>
      </c>
      <c r="D63" s="33">
        <v>2149100</v>
      </c>
      <c r="E63" s="30"/>
      <c r="F63" s="30"/>
      <c r="G63" s="14"/>
    </row>
    <row r="64" spans="1:7" s="7" customFormat="1" ht="57.75" customHeight="1" x14ac:dyDescent="0.25">
      <c r="A64" s="28">
        <v>21081500</v>
      </c>
      <c r="B64" s="29" t="s">
        <v>63</v>
      </c>
      <c r="C64" s="30">
        <f t="shared" si="0"/>
        <v>93300</v>
      </c>
      <c r="D64" s="33">
        <v>93300</v>
      </c>
      <c r="E64" s="30"/>
      <c r="F64" s="30"/>
      <c r="G64" s="14"/>
    </row>
    <row r="65" spans="1:7" s="7" customFormat="1" ht="34.5" customHeight="1" x14ac:dyDescent="0.25">
      <c r="A65" s="28">
        <v>21081700</v>
      </c>
      <c r="B65" s="29" t="s">
        <v>64</v>
      </c>
      <c r="C65" s="30">
        <f t="shared" si="0"/>
        <v>1000000</v>
      </c>
      <c r="D65" s="33">
        <v>1000000</v>
      </c>
      <c r="E65" s="30"/>
      <c r="F65" s="30"/>
      <c r="G65" s="14"/>
    </row>
    <row r="66" spans="1:7" s="18" customFormat="1" ht="48.75" customHeight="1" x14ac:dyDescent="0.25">
      <c r="A66" s="22">
        <v>21110000</v>
      </c>
      <c r="B66" s="27" t="s">
        <v>65</v>
      </c>
      <c r="C66" s="24">
        <f t="shared" si="0"/>
        <v>80000</v>
      </c>
      <c r="D66" s="25"/>
      <c r="E66" s="24">
        <v>80000</v>
      </c>
      <c r="F66" s="24"/>
      <c r="G66" s="26"/>
    </row>
    <row r="67" spans="1:7" s="18" customFormat="1" ht="37.5" customHeight="1" x14ac:dyDescent="0.25">
      <c r="A67" s="22">
        <v>22000000</v>
      </c>
      <c r="B67" s="27" t="s">
        <v>66</v>
      </c>
      <c r="C67" s="24">
        <f t="shared" si="0"/>
        <v>8609500</v>
      </c>
      <c r="D67" s="25">
        <f>D68+D73+D75</f>
        <v>8609500</v>
      </c>
      <c r="E67" s="25"/>
      <c r="F67" s="25"/>
      <c r="G67" s="26"/>
    </row>
    <row r="68" spans="1:7" s="18" customFormat="1" ht="33" customHeight="1" x14ac:dyDescent="0.25">
      <c r="A68" s="22">
        <v>22010000</v>
      </c>
      <c r="B68" s="27" t="s">
        <v>67</v>
      </c>
      <c r="C68" s="24">
        <f t="shared" si="0"/>
        <v>7701500</v>
      </c>
      <c r="D68" s="25">
        <f>D69+D70+D71+D72</f>
        <v>7701500</v>
      </c>
      <c r="E68" s="25"/>
      <c r="F68" s="25"/>
      <c r="G68" s="26"/>
    </row>
    <row r="69" spans="1:7" s="7" customFormat="1" ht="51" customHeight="1" x14ac:dyDescent="0.25">
      <c r="A69" s="28">
        <v>22010300</v>
      </c>
      <c r="B69" s="29" t="s">
        <v>68</v>
      </c>
      <c r="C69" s="30">
        <f t="shared" si="0"/>
        <v>307400</v>
      </c>
      <c r="D69" s="33">
        <v>307400</v>
      </c>
      <c r="E69" s="33"/>
      <c r="F69" s="33"/>
      <c r="G69" s="14"/>
    </row>
    <row r="70" spans="1:7" s="7" customFormat="1" ht="29.25" customHeight="1" x14ac:dyDescent="0.25">
      <c r="A70" s="28">
        <v>22012500</v>
      </c>
      <c r="B70" s="29" t="s">
        <v>69</v>
      </c>
      <c r="C70" s="30">
        <f t="shared" si="0"/>
        <v>6579900</v>
      </c>
      <c r="D70" s="33">
        <v>6579900</v>
      </c>
      <c r="E70" s="33"/>
      <c r="F70" s="33"/>
      <c r="G70" s="14"/>
    </row>
    <row r="71" spans="1:7" s="7" customFormat="1" ht="37.5" customHeight="1" x14ac:dyDescent="0.25">
      <c r="A71" s="28">
        <v>22012600</v>
      </c>
      <c r="B71" s="29" t="s">
        <v>70</v>
      </c>
      <c r="C71" s="30">
        <f t="shared" si="0"/>
        <v>814200</v>
      </c>
      <c r="D71" s="33">
        <v>814200</v>
      </c>
      <c r="E71" s="33"/>
      <c r="F71" s="33"/>
      <c r="G71" s="14"/>
    </row>
    <row r="72" spans="1:7" s="7" customFormat="1" ht="86.25" hidden="1" customHeight="1" x14ac:dyDescent="0.25">
      <c r="A72" s="28">
        <v>22012900</v>
      </c>
      <c r="B72" s="29" t="s">
        <v>71</v>
      </c>
      <c r="C72" s="30">
        <f t="shared" si="0"/>
        <v>0</v>
      </c>
      <c r="D72" s="33"/>
      <c r="E72" s="30"/>
      <c r="F72" s="30"/>
      <c r="G72" s="14"/>
    </row>
    <row r="73" spans="1:7" s="18" customFormat="1" ht="37.5" customHeight="1" x14ac:dyDescent="0.25">
      <c r="A73" s="22">
        <v>22080000</v>
      </c>
      <c r="B73" s="27" t="s">
        <v>72</v>
      </c>
      <c r="C73" s="24">
        <f t="shared" si="0"/>
        <v>750000</v>
      </c>
      <c r="D73" s="25">
        <f>D74</f>
        <v>750000</v>
      </c>
      <c r="E73" s="24"/>
      <c r="F73" s="24"/>
      <c r="G73" s="26"/>
    </row>
    <row r="74" spans="1:7" s="7" customFormat="1" ht="51.75" customHeight="1" x14ac:dyDescent="0.25">
      <c r="A74" s="28">
        <v>22080400</v>
      </c>
      <c r="B74" s="29" t="s">
        <v>73</v>
      </c>
      <c r="C74" s="30">
        <f t="shared" si="0"/>
        <v>750000</v>
      </c>
      <c r="D74" s="33">
        <v>750000</v>
      </c>
      <c r="E74" s="30"/>
      <c r="F74" s="30"/>
      <c r="G74" s="14"/>
    </row>
    <row r="75" spans="1:7" s="18" customFormat="1" ht="24.95" customHeight="1" x14ac:dyDescent="0.25">
      <c r="A75" s="22">
        <v>22090000</v>
      </c>
      <c r="B75" s="27" t="s">
        <v>74</v>
      </c>
      <c r="C75" s="24">
        <f t="shared" si="0"/>
        <v>158000</v>
      </c>
      <c r="D75" s="25">
        <f>D76+D77</f>
        <v>158000</v>
      </c>
      <c r="E75" s="24"/>
      <c r="F75" s="24"/>
      <c r="G75" s="26"/>
    </row>
    <row r="76" spans="1:7" s="7" customFormat="1" ht="57.75" customHeight="1" x14ac:dyDescent="0.25">
      <c r="A76" s="28">
        <v>22090100</v>
      </c>
      <c r="B76" s="29" t="s">
        <v>75</v>
      </c>
      <c r="C76" s="30">
        <f t="shared" si="0"/>
        <v>118000</v>
      </c>
      <c r="D76" s="33">
        <v>118000</v>
      </c>
      <c r="E76" s="30"/>
      <c r="F76" s="30"/>
      <c r="G76" s="14"/>
    </row>
    <row r="77" spans="1:7" s="7" customFormat="1" ht="39.75" customHeight="1" x14ac:dyDescent="0.25">
      <c r="A77" s="28">
        <v>22090400</v>
      </c>
      <c r="B77" s="29" t="s">
        <v>76</v>
      </c>
      <c r="C77" s="30">
        <f t="shared" si="0"/>
        <v>40000</v>
      </c>
      <c r="D77" s="33">
        <v>40000</v>
      </c>
      <c r="E77" s="30"/>
      <c r="F77" s="30"/>
      <c r="G77" s="14"/>
    </row>
    <row r="78" spans="1:7" s="18" customFormat="1" ht="87.75" customHeight="1" x14ac:dyDescent="0.25">
      <c r="A78" s="45">
        <v>22130000</v>
      </c>
      <c r="B78" s="46" t="s">
        <v>77</v>
      </c>
      <c r="C78" s="24">
        <f t="shared" si="0"/>
        <v>43200</v>
      </c>
      <c r="D78" s="25">
        <v>43200</v>
      </c>
      <c r="E78" s="24"/>
      <c r="F78" s="24"/>
      <c r="G78" s="26"/>
    </row>
    <row r="79" spans="1:7" s="18" customFormat="1" ht="24.95" customHeight="1" x14ac:dyDescent="0.25">
      <c r="A79" s="22">
        <v>24000000</v>
      </c>
      <c r="B79" s="27" t="s">
        <v>78</v>
      </c>
      <c r="C79" s="24">
        <f t="shared" si="0"/>
        <v>1586821</v>
      </c>
      <c r="D79" s="25">
        <f>D80+D84</f>
        <v>1585821</v>
      </c>
      <c r="E79" s="25">
        <f>E80+E84</f>
        <v>1000</v>
      </c>
      <c r="F79" s="25">
        <f>F80+F84</f>
        <v>0</v>
      </c>
      <c r="G79" s="26"/>
    </row>
    <row r="80" spans="1:7" s="18" customFormat="1" ht="24.95" customHeight="1" x14ac:dyDescent="0.25">
      <c r="A80" s="22">
        <v>24060000</v>
      </c>
      <c r="B80" s="27" t="s">
        <v>79</v>
      </c>
      <c r="C80" s="24">
        <f t="shared" si="0"/>
        <v>1586821</v>
      </c>
      <c r="D80" s="25">
        <f>D81+D82+D83</f>
        <v>1585821</v>
      </c>
      <c r="E80" s="25">
        <f>E81+E82</f>
        <v>1000</v>
      </c>
      <c r="F80" s="25">
        <f>F81+F82</f>
        <v>0</v>
      </c>
      <c r="G80" s="26"/>
    </row>
    <row r="81" spans="1:7" s="10" customFormat="1" ht="24.95" customHeight="1" x14ac:dyDescent="0.25">
      <c r="A81" s="47">
        <v>24060300</v>
      </c>
      <c r="B81" s="29" t="s">
        <v>79</v>
      </c>
      <c r="C81" s="48">
        <f t="shared" ref="C81:C113" si="1">D81+E81</f>
        <v>1385821</v>
      </c>
      <c r="D81" s="49">
        <v>1385821</v>
      </c>
      <c r="E81" s="48"/>
      <c r="F81" s="48"/>
      <c r="G81" s="14"/>
    </row>
    <row r="82" spans="1:7" s="7" customFormat="1" ht="50.25" customHeight="1" x14ac:dyDescent="0.25">
      <c r="A82" s="28">
        <v>24062100</v>
      </c>
      <c r="B82" s="29" t="s">
        <v>80</v>
      </c>
      <c r="C82" s="30">
        <f t="shared" si="1"/>
        <v>1000</v>
      </c>
      <c r="D82" s="33"/>
      <c r="E82" s="30">
        <v>1000</v>
      </c>
      <c r="F82" s="30"/>
      <c r="G82" s="14"/>
    </row>
    <row r="83" spans="1:7" s="7" customFormat="1" ht="132" customHeight="1" x14ac:dyDescent="0.25">
      <c r="A83" s="28">
        <v>24062200</v>
      </c>
      <c r="B83" s="29" t="s">
        <v>81</v>
      </c>
      <c r="C83" s="30">
        <f t="shared" si="1"/>
        <v>200000</v>
      </c>
      <c r="D83" s="33">
        <v>200000</v>
      </c>
      <c r="E83" s="48"/>
      <c r="F83" s="30"/>
      <c r="G83" s="14"/>
    </row>
    <row r="84" spans="1:7" s="18" customFormat="1" ht="39.75" hidden="1" customHeight="1" x14ac:dyDescent="0.25">
      <c r="A84" s="39">
        <v>24170000</v>
      </c>
      <c r="B84" s="46" t="s">
        <v>82</v>
      </c>
      <c r="C84" s="50">
        <f t="shared" si="1"/>
        <v>0</v>
      </c>
      <c r="D84" s="51"/>
      <c r="E84" s="50"/>
      <c r="F84" s="50">
        <f>E84</f>
        <v>0</v>
      </c>
      <c r="G84" s="26"/>
    </row>
    <row r="85" spans="1:7" s="18" customFormat="1" ht="24.95" customHeight="1" x14ac:dyDescent="0.25">
      <c r="A85" s="45">
        <v>25000000</v>
      </c>
      <c r="B85" s="46" t="s">
        <v>83</v>
      </c>
      <c r="C85" s="50">
        <f t="shared" si="1"/>
        <v>51646205</v>
      </c>
      <c r="D85" s="51"/>
      <c r="E85" s="50">
        <f>E86</f>
        <v>51646205</v>
      </c>
      <c r="F85" s="50"/>
      <c r="G85" s="26"/>
    </row>
    <row r="86" spans="1:7" s="18" customFormat="1" ht="36" customHeight="1" x14ac:dyDescent="0.25">
      <c r="A86" s="45">
        <v>25010000</v>
      </c>
      <c r="B86" s="46" t="s">
        <v>84</v>
      </c>
      <c r="C86" s="50">
        <f t="shared" si="1"/>
        <v>51646205</v>
      </c>
      <c r="D86" s="51"/>
      <c r="E86" s="50">
        <f>E87+E88+E89</f>
        <v>51646205</v>
      </c>
      <c r="F86" s="50"/>
      <c r="G86" s="26"/>
    </row>
    <row r="87" spans="1:7" s="10" customFormat="1" ht="36" customHeight="1" x14ac:dyDescent="0.25">
      <c r="A87" s="40">
        <v>25010100</v>
      </c>
      <c r="B87" s="52" t="s">
        <v>85</v>
      </c>
      <c r="C87" s="48">
        <f t="shared" si="1"/>
        <v>49973349</v>
      </c>
      <c r="D87" s="49"/>
      <c r="E87" s="48">
        <v>49973349</v>
      </c>
      <c r="F87" s="48"/>
      <c r="G87" s="14"/>
    </row>
    <row r="88" spans="1:7" s="10" customFormat="1" ht="57" customHeight="1" x14ac:dyDescent="0.25">
      <c r="A88" s="40">
        <v>25010300</v>
      </c>
      <c r="B88" s="52" t="s">
        <v>86</v>
      </c>
      <c r="C88" s="48">
        <f t="shared" si="1"/>
        <v>1672856</v>
      </c>
      <c r="D88" s="49"/>
      <c r="E88" s="48">
        <v>1672856</v>
      </c>
      <c r="F88" s="48"/>
      <c r="G88" s="14"/>
    </row>
    <row r="89" spans="1:7" s="10" customFormat="1" ht="37.5" hidden="1" customHeight="1" x14ac:dyDescent="0.25">
      <c r="A89" s="40">
        <v>25010400</v>
      </c>
      <c r="B89" s="29" t="s">
        <v>87</v>
      </c>
      <c r="C89" s="48">
        <f t="shared" si="1"/>
        <v>0</v>
      </c>
      <c r="D89" s="49"/>
      <c r="E89" s="48"/>
      <c r="F89" s="48"/>
      <c r="G89" s="14"/>
    </row>
    <row r="90" spans="1:7" s="18" customFormat="1" ht="24.95" customHeight="1" x14ac:dyDescent="0.25">
      <c r="A90" s="45">
        <v>30000000</v>
      </c>
      <c r="B90" s="46" t="s">
        <v>88</v>
      </c>
      <c r="C90" s="50">
        <f t="shared" si="1"/>
        <v>55000000</v>
      </c>
      <c r="D90" s="51"/>
      <c r="E90" s="50">
        <f>E91+E93</f>
        <v>55000000</v>
      </c>
      <c r="F90" s="50">
        <f>F91+F93</f>
        <v>55000000</v>
      </c>
      <c r="G90" s="26"/>
    </row>
    <row r="91" spans="1:7" s="18" customFormat="1" ht="24.95" customHeight="1" x14ac:dyDescent="0.25">
      <c r="A91" s="22">
        <v>31000000</v>
      </c>
      <c r="B91" s="27" t="s">
        <v>89</v>
      </c>
      <c r="C91" s="24">
        <f t="shared" si="1"/>
        <v>5000000</v>
      </c>
      <c r="D91" s="25"/>
      <c r="E91" s="24">
        <f>E92</f>
        <v>5000000</v>
      </c>
      <c r="F91" s="24">
        <f>E91</f>
        <v>5000000</v>
      </c>
      <c r="G91" s="26"/>
    </row>
    <row r="92" spans="1:7" s="7" customFormat="1" ht="52.5" customHeight="1" x14ac:dyDescent="0.25">
      <c r="A92" s="28">
        <v>31030000</v>
      </c>
      <c r="B92" s="29" t="s">
        <v>90</v>
      </c>
      <c r="C92" s="30">
        <f t="shared" si="1"/>
        <v>5000000</v>
      </c>
      <c r="D92" s="33"/>
      <c r="E92" s="30">
        <v>5000000</v>
      </c>
      <c r="F92" s="30">
        <f>E92</f>
        <v>5000000</v>
      </c>
      <c r="G92" s="14"/>
    </row>
    <row r="93" spans="1:7" s="18" customFormat="1" ht="24.95" customHeight="1" x14ac:dyDescent="0.25">
      <c r="A93" s="22">
        <v>33000000</v>
      </c>
      <c r="B93" s="27" t="s">
        <v>91</v>
      </c>
      <c r="C93" s="24">
        <f t="shared" si="1"/>
        <v>50000000</v>
      </c>
      <c r="D93" s="25"/>
      <c r="E93" s="24">
        <f>E94</f>
        <v>50000000</v>
      </c>
      <c r="F93" s="24">
        <f>E93</f>
        <v>50000000</v>
      </c>
      <c r="G93" s="26"/>
    </row>
    <row r="94" spans="1:7" s="18" customFormat="1" ht="24.95" customHeight="1" x14ac:dyDescent="0.25">
      <c r="A94" s="22">
        <v>33010000</v>
      </c>
      <c r="B94" s="27" t="s">
        <v>92</v>
      </c>
      <c r="C94" s="24">
        <f t="shared" si="1"/>
        <v>50000000</v>
      </c>
      <c r="D94" s="25"/>
      <c r="E94" s="24">
        <f>E95+E96</f>
        <v>50000000</v>
      </c>
      <c r="F94" s="24">
        <f>F95+F96</f>
        <v>50000000</v>
      </c>
      <c r="G94" s="26"/>
    </row>
    <row r="95" spans="1:7" s="7" customFormat="1" ht="72" customHeight="1" x14ac:dyDescent="0.25">
      <c r="A95" s="28">
        <v>33010100</v>
      </c>
      <c r="B95" s="29" t="s">
        <v>93</v>
      </c>
      <c r="C95" s="30">
        <f t="shared" si="1"/>
        <v>50000000</v>
      </c>
      <c r="D95" s="33"/>
      <c r="E95" s="30">
        <v>50000000</v>
      </c>
      <c r="F95" s="30">
        <f>E95</f>
        <v>50000000</v>
      </c>
      <c r="G95" s="14"/>
    </row>
    <row r="96" spans="1:7" s="7" customFormat="1" ht="63.75" hidden="1" customHeight="1" x14ac:dyDescent="0.25">
      <c r="A96" s="28">
        <v>33010200</v>
      </c>
      <c r="B96" s="29" t="s">
        <v>94</v>
      </c>
      <c r="C96" s="24">
        <f t="shared" si="1"/>
        <v>0</v>
      </c>
      <c r="D96" s="33"/>
      <c r="E96" s="30"/>
      <c r="F96" s="30">
        <f>E96</f>
        <v>0</v>
      </c>
      <c r="G96" s="14"/>
    </row>
    <row r="97" spans="1:17" s="18" customFormat="1" ht="24.95" customHeight="1" x14ac:dyDescent="0.25">
      <c r="A97" s="22">
        <v>50000000</v>
      </c>
      <c r="B97" s="27" t="s">
        <v>95</v>
      </c>
      <c r="C97" s="24">
        <f t="shared" si="1"/>
        <v>651000</v>
      </c>
      <c r="D97" s="25"/>
      <c r="E97" s="24">
        <f>E98</f>
        <v>651000</v>
      </c>
      <c r="F97" s="24"/>
      <c r="G97" s="26"/>
    </row>
    <row r="98" spans="1:17" s="7" customFormat="1" ht="48" customHeight="1" x14ac:dyDescent="0.25">
      <c r="A98" s="28">
        <v>50110000</v>
      </c>
      <c r="B98" s="29" t="s">
        <v>96</v>
      </c>
      <c r="C98" s="30">
        <f t="shared" si="1"/>
        <v>651000</v>
      </c>
      <c r="D98" s="33"/>
      <c r="E98" s="30">
        <v>651000</v>
      </c>
      <c r="F98" s="30"/>
      <c r="G98" s="14"/>
    </row>
    <row r="99" spans="1:17" s="18" customFormat="1" ht="34.5" customHeight="1" x14ac:dyDescent="0.25">
      <c r="A99" s="22"/>
      <c r="B99" s="27" t="s">
        <v>97</v>
      </c>
      <c r="C99" s="24">
        <f t="shared" si="1"/>
        <v>1699918395</v>
      </c>
      <c r="D99" s="25">
        <f>D12+D58+D90+D97</f>
        <v>1592376590</v>
      </c>
      <c r="E99" s="25">
        <f>E12+E58+E90+E97</f>
        <v>107541805</v>
      </c>
      <c r="F99" s="25">
        <f>F12+F58+F90+F97</f>
        <v>55000000</v>
      </c>
      <c r="G99" s="26"/>
      <c r="H99" s="53"/>
      <c r="I99" s="54"/>
    </row>
    <row r="100" spans="1:17" s="18" customFormat="1" ht="21.75" customHeight="1" x14ac:dyDescent="0.25">
      <c r="A100" s="22">
        <v>40000000</v>
      </c>
      <c r="B100" s="27" t="s">
        <v>98</v>
      </c>
      <c r="C100" s="24">
        <f t="shared" si="1"/>
        <v>267646600</v>
      </c>
      <c r="D100" s="25">
        <f>D101</f>
        <v>267646600</v>
      </c>
      <c r="E100" s="25">
        <f>E101</f>
        <v>0</v>
      </c>
      <c r="F100" s="25">
        <f>F101</f>
        <v>0</v>
      </c>
      <c r="G100" s="55"/>
    </row>
    <row r="101" spans="1:17" s="18" customFormat="1" ht="24.75" customHeight="1" x14ac:dyDescent="0.25">
      <c r="A101" s="22">
        <v>41000000</v>
      </c>
      <c r="B101" s="27" t="s">
        <v>99</v>
      </c>
      <c r="C101" s="24">
        <f t="shared" si="1"/>
        <v>267646600</v>
      </c>
      <c r="D101" s="25">
        <f>D102+D107+D105</f>
        <v>267646600</v>
      </c>
      <c r="E101" s="25">
        <f>E102+E107+E105</f>
        <v>0</v>
      </c>
      <c r="F101" s="25">
        <f>F102+F107+F105</f>
        <v>0</v>
      </c>
      <c r="G101" s="26"/>
    </row>
    <row r="102" spans="1:17" s="18" customFormat="1" ht="24.75" customHeight="1" x14ac:dyDescent="0.25">
      <c r="A102" s="22">
        <v>41030000</v>
      </c>
      <c r="B102" s="56" t="s">
        <v>100</v>
      </c>
      <c r="C102" s="24">
        <f t="shared" si="1"/>
        <v>262233700</v>
      </c>
      <c r="D102" s="25">
        <f>D104+D103</f>
        <v>262233700</v>
      </c>
      <c r="E102" s="25">
        <f>E104+E103</f>
        <v>0</v>
      </c>
      <c r="F102" s="25">
        <f>F104+F103</f>
        <v>0</v>
      </c>
      <c r="G102" s="26"/>
    </row>
    <row r="103" spans="1:17" s="10" customFormat="1" ht="62.25" hidden="1" customHeight="1" x14ac:dyDescent="0.25">
      <c r="A103" s="57">
        <v>41032700</v>
      </c>
      <c r="B103" s="58" t="s">
        <v>101</v>
      </c>
      <c r="C103" s="30">
        <f t="shared" si="1"/>
        <v>0</v>
      </c>
      <c r="D103" s="33"/>
      <c r="E103" s="33">
        <v>0</v>
      </c>
      <c r="F103" s="30">
        <v>0</v>
      </c>
      <c r="G103" s="14"/>
    </row>
    <row r="104" spans="1:17" ht="27" customHeight="1" x14ac:dyDescent="0.25">
      <c r="A104" s="57">
        <v>41033900</v>
      </c>
      <c r="B104" s="58" t="s">
        <v>102</v>
      </c>
      <c r="C104" s="30">
        <f t="shared" si="1"/>
        <v>262233700</v>
      </c>
      <c r="D104" s="33">
        <v>262233700</v>
      </c>
      <c r="E104" s="30"/>
      <c r="F104" s="30"/>
    </row>
    <row r="105" spans="1:17" s="60" customFormat="1" ht="32.25" hidden="1" customHeight="1" x14ac:dyDescent="0.25">
      <c r="A105" s="20">
        <v>41040000</v>
      </c>
      <c r="B105" s="59" t="s">
        <v>103</v>
      </c>
      <c r="C105" s="24">
        <f t="shared" si="1"/>
        <v>0</v>
      </c>
      <c r="D105" s="25">
        <f>D106</f>
        <v>0</v>
      </c>
      <c r="E105" s="24"/>
      <c r="F105" s="24"/>
      <c r="G105" s="26"/>
      <c r="H105" s="18"/>
      <c r="I105" s="18"/>
      <c r="J105" s="18"/>
      <c r="K105" s="18"/>
      <c r="L105" s="18"/>
      <c r="M105" s="18"/>
      <c r="N105" s="18"/>
      <c r="O105" s="18"/>
      <c r="P105" s="18"/>
      <c r="Q105" s="18"/>
    </row>
    <row r="106" spans="1:17" ht="66" hidden="1" customHeight="1" x14ac:dyDescent="0.25">
      <c r="A106" s="57">
        <v>41040200</v>
      </c>
      <c r="B106" s="58" t="s">
        <v>104</v>
      </c>
      <c r="C106" s="30">
        <f t="shared" si="1"/>
        <v>0</v>
      </c>
      <c r="D106" s="33"/>
      <c r="E106" s="30"/>
      <c r="F106" s="30"/>
    </row>
    <row r="107" spans="1:17" s="18" customFormat="1" ht="40.5" customHeight="1" x14ac:dyDescent="0.25">
      <c r="A107" s="20">
        <v>41050000</v>
      </c>
      <c r="B107" s="61" t="s">
        <v>105</v>
      </c>
      <c r="C107" s="24">
        <f t="shared" si="1"/>
        <v>5412900</v>
      </c>
      <c r="D107" s="25">
        <f>SUM(D108:D113)</f>
        <v>5412900</v>
      </c>
      <c r="E107" s="25">
        <f>SUM(E108:E113)</f>
        <v>0</v>
      </c>
      <c r="F107" s="25">
        <f>SUM(F108:F113)</f>
        <v>0</v>
      </c>
      <c r="G107" s="26"/>
    </row>
    <row r="108" spans="1:17" ht="51" customHeight="1" x14ac:dyDescent="0.25">
      <c r="A108" s="57">
        <v>41051000</v>
      </c>
      <c r="B108" s="62" t="s">
        <v>106</v>
      </c>
      <c r="C108" s="63">
        <f t="shared" si="1"/>
        <v>2928500</v>
      </c>
      <c r="D108" s="64">
        <v>2928500</v>
      </c>
      <c r="E108" s="63"/>
      <c r="F108" s="63"/>
      <c r="I108" s="14"/>
    </row>
    <row r="109" spans="1:17" ht="52.5" customHeight="1" x14ac:dyDescent="0.25">
      <c r="A109" s="57">
        <v>41051200</v>
      </c>
      <c r="B109" s="62" t="s">
        <v>107</v>
      </c>
      <c r="C109" s="30">
        <f t="shared" si="1"/>
        <v>2408900</v>
      </c>
      <c r="D109" s="33">
        <v>2408900</v>
      </c>
      <c r="E109" s="30"/>
      <c r="F109" s="30"/>
    </row>
    <row r="110" spans="1:17" ht="36.75" customHeight="1" x14ac:dyDescent="0.25">
      <c r="A110" s="57">
        <v>41053900</v>
      </c>
      <c r="B110" s="62" t="s">
        <v>108</v>
      </c>
      <c r="C110" s="30">
        <f t="shared" si="1"/>
        <v>75500</v>
      </c>
      <c r="D110" s="33">
        <v>75500</v>
      </c>
      <c r="E110" s="30"/>
      <c r="F110" s="30"/>
    </row>
    <row r="111" spans="1:17" ht="39" hidden="1" customHeight="1" x14ac:dyDescent="0.25">
      <c r="A111" s="57"/>
      <c r="B111" s="62"/>
      <c r="C111" s="30">
        <f t="shared" si="1"/>
        <v>0</v>
      </c>
      <c r="D111" s="33"/>
      <c r="E111" s="30"/>
      <c r="F111" s="30"/>
    </row>
    <row r="112" spans="1:17" ht="39" hidden="1" customHeight="1" x14ac:dyDescent="0.25">
      <c r="A112" s="57"/>
      <c r="B112" s="62"/>
      <c r="C112" s="30">
        <f t="shared" si="1"/>
        <v>0</v>
      </c>
      <c r="D112" s="33">
        <v>0</v>
      </c>
      <c r="E112" s="30"/>
      <c r="F112" s="65"/>
    </row>
    <row r="113" spans="1:7" ht="50.25" hidden="1" customHeight="1" x14ac:dyDescent="0.25">
      <c r="A113" s="28"/>
      <c r="B113" s="29"/>
      <c r="C113" s="30">
        <f t="shared" si="1"/>
        <v>0</v>
      </c>
      <c r="D113" s="49">
        <v>0</v>
      </c>
      <c r="E113" s="30"/>
      <c r="F113" s="30">
        <v>0</v>
      </c>
    </row>
    <row r="114" spans="1:7" s="70" customFormat="1" ht="35.1" customHeight="1" x14ac:dyDescent="0.3">
      <c r="A114" s="66"/>
      <c r="B114" s="27" t="s">
        <v>109</v>
      </c>
      <c r="C114" s="67">
        <f>D114+E114</f>
        <v>1967564995</v>
      </c>
      <c r="D114" s="68">
        <f>D99+D100</f>
        <v>1860023190</v>
      </c>
      <c r="E114" s="68">
        <f>E99+E100</f>
        <v>107541805</v>
      </c>
      <c r="F114" s="68">
        <f>F99+F100</f>
        <v>55000000</v>
      </c>
      <c r="G114" s="69"/>
    </row>
    <row r="118" spans="1:7" s="8" customFormat="1" x14ac:dyDescent="0.25">
      <c r="A118" s="71"/>
      <c r="B118" s="72" t="s">
        <v>727</v>
      </c>
      <c r="C118" s="60"/>
      <c r="E118" s="73" t="s">
        <v>728</v>
      </c>
      <c r="F118" s="73"/>
    </row>
    <row r="120" spans="1:7" x14ac:dyDescent="0.25">
      <c r="D120" s="14">
        <v>1746757191</v>
      </c>
      <c r="E120" s="14"/>
    </row>
    <row r="121" spans="1:7" x14ac:dyDescent="0.25">
      <c r="D121" s="14">
        <f>D114-D120</f>
        <v>113265999</v>
      </c>
      <c r="E121" s="75"/>
    </row>
  </sheetData>
  <mergeCells count="11">
    <mergeCell ref="A9:A10"/>
    <mergeCell ref="B9:B10"/>
    <mergeCell ref="C9:C10"/>
    <mergeCell ref="D9:D10"/>
    <mergeCell ref="E9:F9"/>
    <mergeCell ref="A7:F7"/>
    <mergeCell ref="C1:F1"/>
    <mergeCell ref="A3:F3"/>
    <mergeCell ref="A4:F4"/>
    <mergeCell ref="A5:F5"/>
    <mergeCell ref="A6:F6"/>
  </mergeCells>
  <printOptions horizontalCentered="1"/>
  <pageMargins left="0.31496062992125984" right="0.11811023622047245" top="0.15748031496062992" bottom="0.15748031496062992" header="0.31496062992125984" footer="0.31496062992125984"/>
  <pageSetup paperSize="9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11</vt:i4>
      </vt:variant>
      <vt:variant>
        <vt:lpstr>Іменовані діапазони</vt:lpstr>
      </vt:variant>
      <vt:variant>
        <vt:i4>19</vt:i4>
      </vt:variant>
    </vt:vector>
  </HeadingPairs>
  <TitlesOfParts>
    <vt:vector size="30" baseType="lpstr">
      <vt:lpstr>dod 1 </vt:lpstr>
      <vt:lpstr>dod 2</vt:lpstr>
      <vt:lpstr>dod 3</vt:lpstr>
      <vt:lpstr>dod 4 </vt:lpstr>
      <vt:lpstr>dod 5</vt:lpstr>
      <vt:lpstr>dod 6</vt:lpstr>
      <vt:lpstr>dod 7</vt:lpstr>
      <vt:lpstr>dod  8</vt:lpstr>
      <vt:lpstr>dod  9</vt:lpstr>
      <vt:lpstr>dod 10</vt:lpstr>
      <vt:lpstr>dod 11</vt:lpstr>
      <vt:lpstr>'dod  8'!Заголовки_для_друку</vt:lpstr>
      <vt:lpstr>'dod  9'!Заголовки_для_друку</vt:lpstr>
      <vt:lpstr>'dod 10'!Заголовки_для_друку</vt:lpstr>
      <vt:lpstr>'dod 11'!Заголовки_для_друку</vt:lpstr>
      <vt:lpstr>'dod 2'!Заголовки_для_друку</vt:lpstr>
      <vt:lpstr>'dod 4 '!Заголовки_для_друку</vt:lpstr>
      <vt:lpstr>'dod 5'!Заголовки_для_друку</vt:lpstr>
      <vt:lpstr>'dod 7'!Заголовки_для_друку</vt:lpstr>
      <vt:lpstr>'dod  8'!Область_друку</vt:lpstr>
      <vt:lpstr>'dod  9'!Область_друку</vt:lpstr>
      <vt:lpstr>'dod 1 '!Область_друку</vt:lpstr>
      <vt:lpstr>'dod 10'!Область_друку</vt:lpstr>
      <vt:lpstr>'dod 11'!Область_друку</vt:lpstr>
      <vt:lpstr>'dod 2'!Область_друку</vt:lpstr>
      <vt:lpstr>'dod 3'!Область_друку</vt:lpstr>
      <vt:lpstr>'dod 4 '!Область_друку</vt:lpstr>
      <vt:lpstr>'dod 5'!Область_друку</vt:lpstr>
      <vt:lpstr>'dod 6'!Область_друку</vt:lpstr>
      <vt:lpstr>'dod 7'!Область_друку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HOME</cp:lastModifiedBy>
  <cp:lastPrinted>2022-11-23T14:28:02Z</cp:lastPrinted>
  <dcterms:created xsi:type="dcterms:W3CDTF">2015-06-05T18:19:34Z</dcterms:created>
  <dcterms:modified xsi:type="dcterms:W3CDTF">2022-11-23T14:28:04Z</dcterms:modified>
</cp:coreProperties>
</file>